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ownManager\Documents\Selectboard\Agenda &amp; Packet\2023 Agendas and Packets\j May 15\WS\Packet\Budget\"/>
    </mc:Choice>
  </mc:AlternateContent>
  <xr:revisionPtr revIDLastSave="0" documentId="13_ncr:1_{8891780D-ED0E-4C61-8F97-0E9436DAA742}" xr6:coauthVersionLast="47" xr6:coauthVersionMax="47" xr10:uidLastSave="{00000000-0000-0000-0000-000000000000}"/>
  <bookViews>
    <workbookView xWindow="-120" yWindow="-120" windowWidth="24240" windowHeight="13140" xr2:uid="{00000000-000D-0000-FFFF-FFFF00000000}"/>
  </bookViews>
  <sheets>
    <sheet name="FY24 DRAFT" sheetId="14" r:id="rId1"/>
    <sheet name="FY23 Final" sheetId="13" r:id="rId2"/>
    <sheet name="FY22 Final" sheetId="12" r:id="rId3"/>
    <sheet name="FY21 Final" sheetId="9" r:id="rId4"/>
    <sheet name="FY20 Final" sheetId="8" r:id="rId5"/>
    <sheet name="FY19 Final"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14" l="1"/>
  <c r="E61" i="14"/>
  <c r="D61" i="14"/>
  <c r="H61" i="14"/>
  <c r="I61" i="14"/>
  <c r="I58" i="14"/>
  <c r="I57" i="14"/>
  <c r="I56" i="14"/>
  <c r="H109" i="14"/>
  <c r="K47" i="14" l="1"/>
  <c r="K48" i="14" s="1"/>
  <c r="E47" i="14"/>
  <c r="F19" i="13"/>
  <c r="F20" i="13"/>
  <c r="F21" i="13"/>
  <c r="K27" i="13"/>
  <c r="K28" i="13" s="1"/>
  <c r="M29" i="13"/>
  <c r="J68" i="14"/>
  <c r="G61" i="14"/>
  <c r="E56" i="14"/>
  <c r="D56" i="14"/>
  <c r="C61" i="14"/>
  <c r="M45" i="14"/>
  <c r="G45" i="14"/>
  <c r="G45" i="13"/>
  <c r="E45" i="14"/>
  <c r="L31" i="14"/>
  <c r="L27" i="14"/>
  <c r="F31" i="14"/>
  <c r="E31" i="14"/>
  <c r="E12" i="14"/>
  <c r="F12" i="14"/>
  <c r="F11" i="14"/>
  <c r="F9" i="14" l="1"/>
  <c r="H105" i="14"/>
  <c r="G105" i="14"/>
  <c r="J69" i="14"/>
  <c r="D58" i="14"/>
  <c r="E69" i="14" s="1"/>
  <c r="E57" i="14"/>
  <c r="K45" i="14"/>
  <c r="N31" i="14"/>
  <c r="O31" i="14" s="1"/>
  <c r="K31" i="14"/>
  <c r="K32" i="14" s="1"/>
  <c r="H31" i="14"/>
  <c r="I31" i="14" s="1"/>
  <c r="E32" i="14"/>
  <c r="N27" i="14"/>
  <c r="O27" i="14" s="1"/>
  <c r="K27" i="14"/>
  <c r="K28" i="14" s="1"/>
  <c r="E11" i="14"/>
  <c r="D11" i="14"/>
  <c r="D12" i="14" s="1"/>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E48" i="14" l="1"/>
  <c r="C75" i="14" s="1"/>
  <c r="C79" i="14" s="1"/>
  <c r="J70" i="14"/>
  <c r="K68" i="14" s="1"/>
  <c r="D67" i="14" s="1"/>
  <c r="D57" i="14"/>
  <c r="D75" i="14"/>
  <c r="H56" i="14"/>
  <c r="H58" i="14"/>
  <c r="H57" i="14"/>
  <c r="E31" i="13"/>
  <c r="G31" i="14" s="1"/>
  <c r="G32" i="14" s="1"/>
  <c r="G47" i="14" s="1"/>
  <c r="G48" i="14" s="1"/>
  <c r="E75" i="14" s="1"/>
  <c r="M31" i="13"/>
  <c r="M32" i="13" s="1"/>
  <c r="L31" i="13"/>
  <c r="M28" i="13"/>
  <c r="M27" i="13"/>
  <c r="L27" i="13"/>
  <c r="G31" i="13"/>
  <c r="F31" i="13"/>
  <c r="F9" i="13"/>
  <c r="K69" i="14" l="1"/>
  <c r="D68" i="14" s="1"/>
  <c r="E68" i="14" s="1"/>
  <c r="C78" i="14" s="1"/>
  <c r="D91" i="14" s="1"/>
  <c r="D78" i="14"/>
  <c r="J91" i="14" s="1"/>
  <c r="F21" i="14" s="1"/>
  <c r="D79" i="14"/>
  <c r="J95" i="14" s="1"/>
  <c r="D77" i="14"/>
  <c r="J87" i="14" s="1"/>
  <c r="E67" i="14"/>
  <c r="D95" i="14"/>
  <c r="D96"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J88" i="14" l="1"/>
  <c r="E116" i="14" s="1"/>
  <c r="K32" i="13"/>
  <c r="K47" i="13" s="1"/>
  <c r="K48" i="13" s="1"/>
  <c r="M31" i="14"/>
  <c r="M32" i="14" s="1"/>
  <c r="M28" i="14"/>
  <c r="M27" i="14"/>
  <c r="J96" i="14"/>
  <c r="K96" i="14" s="1"/>
  <c r="D92" i="14"/>
  <c r="D124" i="14" s="1"/>
  <c r="J92" i="14"/>
  <c r="E70" i="14"/>
  <c r="C77" i="14"/>
  <c r="K87" i="14"/>
  <c r="E117" i="14"/>
  <c r="E125" i="14"/>
  <c r="K91" i="14"/>
  <c r="F19" i="14"/>
  <c r="K95" i="14"/>
  <c r="E133" i="14"/>
  <c r="D132" i="14"/>
  <c r="E96" i="14"/>
  <c r="D133" i="14"/>
  <c r="E95" i="14"/>
  <c r="E91" i="14"/>
  <c r="D125" i="14"/>
  <c r="F20" i="14"/>
  <c r="C75" i="13"/>
  <c r="D75" i="13"/>
  <c r="H56" i="13"/>
  <c r="H58" i="13"/>
  <c r="I61" i="13"/>
  <c r="D57" i="13"/>
  <c r="J70" i="13"/>
  <c r="K68" i="13" s="1"/>
  <c r="D67" i="13" s="1"/>
  <c r="M48" i="13"/>
  <c r="F75" i="13" s="1"/>
  <c r="F11" i="13"/>
  <c r="F12" i="13" s="1"/>
  <c r="D56" i="13"/>
  <c r="D58" i="13"/>
  <c r="E69" i="13" s="1"/>
  <c r="F69" i="14" s="1"/>
  <c r="H61" i="13"/>
  <c r="K45" i="12"/>
  <c r="K88" i="14" l="1"/>
  <c r="K89" i="14" s="1"/>
  <c r="M29" i="14"/>
  <c r="M47" i="14" s="1"/>
  <c r="M48" i="14" s="1"/>
  <c r="F75" i="14" s="1"/>
  <c r="E92" i="14"/>
  <c r="E93" i="14" s="1"/>
  <c r="E132" i="14"/>
  <c r="E134" i="14" s="1"/>
  <c r="D134" i="14"/>
  <c r="E124" i="14"/>
  <c r="E126" i="14" s="1"/>
  <c r="K92" i="14"/>
  <c r="K93" i="14" s="1"/>
  <c r="K97" i="14"/>
  <c r="E97" i="14"/>
  <c r="H103" i="14"/>
  <c r="D87" i="14"/>
  <c r="D88" i="14"/>
  <c r="E118" i="14"/>
  <c r="D126" i="14"/>
  <c r="D77" i="13"/>
  <c r="K69" i="13"/>
  <c r="D79" i="13"/>
  <c r="D78" i="13"/>
  <c r="D68" i="13"/>
  <c r="E68" i="13" s="1"/>
  <c r="C79" i="13"/>
  <c r="E67" i="13"/>
  <c r="D61" i="13"/>
  <c r="J68" i="12"/>
  <c r="H104" i="14" l="1"/>
  <c r="H106" i="14" s="1"/>
  <c r="H107" i="14" s="1"/>
  <c r="D135" i="14"/>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7" i="14"/>
  <c r="E88" i="14"/>
  <c r="G104" i="14" s="1"/>
  <c r="D116" i="14"/>
  <c r="D117" i="14"/>
  <c r="E87" i="14"/>
  <c r="J88" i="13"/>
  <c r="D87" i="13"/>
  <c r="F87" i="14" s="1"/>
  <c r="H87" i="14" s="1"/>
  <c r="I87" i="14" s="1"/>
  <c r="J91" i="13"/>
  <c r="J95" i="13"/>
  <c r="D96" i="13"/>
  <c r="H95" i="13"/>
  <c r="I95" i="13" s="1"/>
  <c r="E95" i="13"/>
  <c r="G95" i="14" s="1"/>
  <c r="D132" i="13"/>
  <c r="F133" i="14" s="1"/>
  <c r="E116" i="13"/>
  <c r="G117" i="14" s="1"/>
  <c r="N92" i="13"/>
  <c r="O92" i="13" s="1"/>
  <c r="K92" i="13"/>
  <c r="M92" i="14" s="1"/>
  <c r="E123" i="13"/>
  <c r="G124" i="14" s="1"/>
  <c r="N96" i="13"/>
  <c r="O96" i="13" s="1"/>
  <c r="K96" i="13"/>
  <c r="M96" i="14" s="1"/>
  <c r="E131" i="13"/>
  <c r="G132"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D88" i="13" l="1"/>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E89" i="14"/>
  <c r="D118" i="14"/>
  <c r="D119" i="14" s="1"/>
  <c r="E115" i="13"/>
  <c r="K88" i="13"/>
  <c r="K95" i="13"/>
  <c r="N95" i="13"/>
  <c r="O95" i="13" s="1"/>
  <c r="E124" i="13"/>
  <c r="N91" i="13"/>
  <c r="O91" i="13" s="1"/>
  <c r="D131" i="13"/>
  <c r="H96" i="13"/>
  <c r="I96" i="13" s="1"/>
  <c r="E92" i="13"/>
  <c r="D123" i="13"/>
  <c r="F124" i="14" s="1"/>
  <c r="E97" i="13"/>
  <c r="E47" i="12"/>
  <c r="E48" i="12" s="1"/>
  <c r="C75" i="12" s="1"/>
  <c r="K48" i="12"/>
  <c r="D75" i="12" s="1"/>
  <c r="D79" i="12" s="1"/>
  <c r="J96" i="12" s="1"/>
  <c r="K68" i="12"/>
  <c r="D67" i="12" s="1"/>
  <c r="D58" i="12"/>
  <c r="E69" i="12" s="1"/>
  <c r="D57" i="12"/>
  <c r="E68" i="12" s="1"/>
  <c r="D56" i="12"/>
  <c r="F11" i="12"/>
  <c r="F12" i="12" s="1"/>
  <c r="H61" i="12"/>
  <c r="I61" i="12"/>
  <c r="H56" i="12"/>
  <c r="H57" i="12"/>
  <c r="E133" i="13" l="1"/>
  <c r="G134" i="14" s="1"/>
  <c r="G133" i="14"/>
  <c r="E117" i="13"/>
  <c r="G118" i="14" s="1"/>
  <c r="G116" i="14"/>
  <c r="E125" i="13"/>
  <c r="G126" i="14" s="1"/>
  <c r="G125" i="14"/>
  <c r="D133" i="13"/>
  <c r="F134" i="14" s="1"/>
  <c r="F132" i="14"/>
  <c r="K89" i="13"/>
  <c r="M88" i="14"/>
  <c r="M89" i="14" s="1"/>
  <c r="F91" i="14"/>
  <c r="H91" i="14" s="1"/>
  <c r="I91" i="14" s="1"/>
  <c r="E91" i="13"/>
  <c r="G91" i="14" s="1"/>
  <c r="G93" i="14" s="1"/>
  <c r="D124" i="13"/>
  <c r="H91" i="13"/>
  <c r="I91" i="13" s="1"/>
  <c r="G92" i="14"/>
  <c r="K93" i="13"/>
  <c r="H103" i="13"/>
  <c r="H109" i="13" s="1"/>
  <c r="M95" i="14"/>
  <c r="M97" i="14" s="1"/>
  <c r="D115" i="13"/>
  <c r="F116" i="14" s="1"/>
  <c r="F88" i="14"/>
  <c r="H88" i="14" s="1"/>
  <c r="I88" i="14" s="1"/>
  <c r="G109" i="14"/>
  <c r="G106" i="14"/>
  <c r="G107" i="14" s="1"/>
  <c r="H104" i="13"/>
  <c r="K97" i="13"/>
  <c r="D134" i="13"/>
  <c r="H88" i="13"/>
  <c r="I88" i="13" s="1"/>
  <c r="E88" i="13"/>
  <c r="H87" i="13"/>
  <c r="I87" i="13" s="1"/>
  <c r="D116" i="13"/>
  <c r="F117"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D125" i="13" l="1"/>
  <c r="F125" i="14"/>
  <c r="D135" i="13"/>
  <c r="D136" i="13" s="1"/>
  <c r="F135" i="14"/>
  <c r="D136" i="14" s="1"/>
  <c r="D137" i="14" s="1"/>
  <c r="G104" i="13"/>
  <c r="G88" i="14"/>
  <c r="G103" i="13"/>
  <c r="G109" i="13" s="1"/>
  <c r="G87" i="14"/>
  <c r="G89" i="14" s="1"/>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D118" i="13" l="1"/>
  <c r="F119" i="14" s="1"/>
  <c r="D120" i="14" s="1"/>
  <c r="D121" i="14" s="1"/>
  <c r="F118" i="14"/>
  <c r="G106" i="13"/>
  <c r="D126" i="13"/>
  <c r="F126"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7" i="14"/>
  <c r="D128" i="14" s="1"/>
  <c r="D129"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J87"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D15" i="7"/>
  <c r="F115" i="8" s="1"/>
  <c r="D12" i="7"/>
  <c r="F87" i="8" s="1"/>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<sst xmlns="http://schemas.openxmlformats.org/spreadsheetml/2006/main" count="1112" uniqueCount="256">
  <si>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</si>
  <si>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</si>
  <si>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</si>
  <si>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</si>
  <si>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</si>
  <si>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</si>
  <si>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</si>
  <si>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</si>
  <si>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</si>
  <si>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</si>
  <si>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</si>
  <si>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</si>
  <si>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</si>
  <si>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</si>
  <si>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</si>
  <si>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</si>
  <si>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</si>
  <si>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</si>
  <si>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</si>
  <si>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</si>
  <si>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</si>
  <si>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</si>
  <si>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</si>
  <si>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</si>
  <si>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</si>
  <si>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</si>
  <si>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</si>
  <si>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</si>
  <si>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</si>
  <si>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</si>
  <si>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</si>
  <si>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</si>
  <si>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</si>
  <si>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</si>
  <si>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</si>
  <si>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</si>
  <si>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</si>
  <si>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</si>
  <si>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</si>
  <si>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</si>
  <si>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</si>
  <si>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</si>
  <si>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</si>
  <si>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</si>
  <si>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</si>
  <si>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</si>
  <si>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</si>
  <si>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</si>
  <si>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</si>
  <si>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</si>
  <si>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</si>
  <si>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</si>
  <si>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</si>
  <si>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</si>
  <si>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</si>
  <si>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</si>
  <si>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</si>
  <si>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</si>
  <si>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</si>
  <si>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</si>
  <si>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</si>
  <si>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</si>
  <si>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</si>
  <si>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</si>
  <si>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</si>
  <si>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</si>
  <si>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</si>
  <si>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</si>
  <si>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</si>
  <si>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</si>
  <si>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</si>
  <si>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</si>
  <si>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</si>
  <si>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</si>
  <si>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</si>
  <si>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</si>
  <si>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</si>
  <si>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</si>
  <si>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</si>
  <si>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</si>
  <si>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</si>
  <si>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</si>
  <si>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</si>
  <si>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</si>
  <si>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</si>
  <si>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</si>
  <si>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</si>
  <si>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</si>
  <si>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</si>
  <si>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</si>
  <si>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</si>
  <si>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</si>
  <si>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</si>
  <si>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</si>
  <si>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</si>
  <si>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</si>
  <si>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</si>
  <si>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</si>
  <si>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</si>
  <si>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</si>
  <si>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</si>
  <si>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</si>
  <si>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</si>
  <si>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</si>
  <si>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</si>
  <si>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</si>
  <si>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</si>
  <si>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</si>
  <si>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</si>
  <si>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</si>
  <si>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</si>
  <si>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</si>
  <si>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</si>
  <si>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</si>
  <si>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</si>
  <si>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</si>
  <si>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</si>
  <si>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</si>
  <si>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</si>
  <si>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</si>
  <si>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</si>
  <si>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</si>
  <si>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</si>
  <si>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</si>
  <si>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</si>
  <si>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</si>
  <si>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</si>
  <si>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</si>
  <si>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</si>
  <si>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</si>
  <si>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</si>
  <si>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</si>
  <si>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</si>
  <si>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</si>
  <si>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</si>
  <si>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</si>
  <si>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</si>
  <si>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</si>
  <si>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</si>
  <si>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</si>
  <si>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</si>
  <si>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</si>
  <si>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</si>
  <si>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</si>
  <si>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</si>
  <si>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</si>
  <si>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</si>
  <si>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</si>
  <si>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</si>
  <si>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</si>
  <si>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</si>
  <si>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</si>
  <si>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</si>
  <si>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</si>
  <si>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</si>
  <si>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</si>
  <si>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</si>
  <si>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</si>
  <si>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</si>
  <si>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</si>
  <si>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</si>
  <si>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</si>
  <si>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</si>
  <si>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</si>
  <si>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</si>
  <si>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</si>
  <si>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</si>
  <si>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</si>
  <si>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</si>
  <si>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</si>
  <si>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</si>
  <si>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</si>
  <si>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</si>
  <si>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</si>
  <si>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</si>
  <si>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</si>
  <si>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</si>
  <si>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</si>
  <si>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</si>
  <si>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</si>
  <si>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</si>
  <si>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</si>
  <si>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</si>
  <si>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</si>
  <si>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</si>
  <si>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</si>
  <si>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</si>
  <si>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</si>
  <si>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</si>
  <si>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</si>
  <si>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</si>
  <si>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</si>
  <si>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</si>
  <si>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</si>
  <si>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</si>
  <si>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</si>
  <si>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</si>
  <si>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</si>
  <si>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</si>
  <si>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</si>
  <si>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</si>
  <si>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</si>
  <si>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</si>
  <si>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</si>
  <si>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</si>
  <si>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</si>
  <si>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</si>
  <si>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</si>
  <si>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</si>
  <si>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</si>
  <si>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</si>
  <si>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</si>
  <si>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</si>
  <si>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</si>
  <si>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</si>
  <si>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</si>
  <si>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</si>
  <si>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</si>
  <si>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</si>
  <si>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</si>
  <si>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</si>
  <si>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</si>
  <si>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</si>
  <si>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</si>
  <si>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</si>
  <si>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</si>
  <si>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</si>
  <si>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</si>
  <si>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</si>
  <si>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</si>
  <si>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</si>
  <si>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</si>
  <si>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</si>
  <si>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</si>
  <si>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</si>
  <si>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</si>
  <si>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</si>
  <si>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</si>
  <si>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</si>
  <si>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</si>
  <si>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</si>
  <si>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</si>
  <si>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</si>
  <si>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</si>
  <si>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</si>
  <si>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Draft as of 4-12-23</t>
  </si>
  <si>
    <t>FY24</t>
  </si>
  <si>
    <t>Total Change FY23/FY24</t>
  </si>
  <si>
    <t>Percent Change FY23/FY24</t>
  </si>
  <si>
    <t>Change FY23 to FY24</t>
  </si>
  <si>
    <t>Net Interest on Checking Account</t>
  </si>
  <si>
    <t>Adjusted FY24</t>
  </si>
  <si>
    <t xml:space="preserve">DRAFT FY2024 Water and Sewer Rate Sheet </t>
  </si>
  <si>
    <t>Morgan Wolaver</t>
  </si>
  <si>
    <t>Erin Farr</t>
  </si>
  <si>
    <t>Signed by Richmond Water and Sewer Commission on this _____  day of _______,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</si>
</sst>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20" fillId="0" borderId="9" xfId="0" applyFont="1" applyBorder="1" applyAlignment="1">
      <alignment horizontal="center"/>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10" xfId="0" applyFont="1" applyBorder="1" applyAlignment="1">
      <alignment horizontal="center"/>
    </xf>
    <xf numFmtId="0" fontId="20" fillId="0" borderId="0" xfId="0" applyFont="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20" fillId="0" borderId="2"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2"/>
  <sheetViews>
    <sheetView tabSelected="1" topLeftCell="A51" zoomScaleNormal="100" workbookViewId="0">
      <selection activeCell="E59" sqref="E59"/>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252</v>
      </c>
      <c r="O1" s="151"/>
      <c r="P1" s="151"/>
    </row>
    <row r="2" spans="1:16" s="150" customFormat="1">
      <c r="A2" s="292" t="s">
        <v>228</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245</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230</v>
      </c>
      <c r="B9" s="298"/>
      <c r="D9" s="162">
        <v>398534</v>
      </c>
      <c r="E9" s="162">
        <v>872219</v>
      </c>
      <c r="F9" s="163">
        <f>D9+E9</f>
        <v>1270753</v>
      </c>
      <c r="O9" s="151"/>
      <c r="P9" s="151"/>
    </row>
    <row r="10" spans="1:16" s="150" customFormat="1">
      <c r="A10" s="299" t="s">
        <v>246</v>
      </c>
      <c r="B10" s="300"/>
      <c r="C10" s="207"/>
      <c r="D10" s="274">
        <v>409283</v>
      </c>
      <c r="E10" s="274">
        <v>967874</v>
      </c>
      <c r="F10" s="263">
        <f>D10+E10</f>
        <v>1377157</v>
      </c>
      <c r="O10" s="151"/>
      <c r="P10" s="151"/>
    </row>
    <row r="11" spans="1:16" s="150" customFormat="1">
      <c r="A11" s="155" t="s">
        <v>247</v>
      </c>
      <c r="D11" s="162">
        <f>D10-D9</f>
        <v>10749</v>
      </c>
      <c r="E11" s="162">
        <f>E10-E9</f>
        <v>95655</v>
      </c>
      <c r="F11" s="163">
        <f>D11+E11</f>
        <v>106404</v>
      </c>
      <c r="O11" s="151"/>
      <c r="P11" s="151"/>
    </row>
    <row r="12" spans="1:16" s="150" customFormat="1">
      <c r="A12" s="158" t="s">
        <v>248</v>
      </c>
      <c r="B12" s="170"/>
      <c r="C12" s="170"/>
      <c r="D12" s="159">
        <f>D11/D9</f>
        <v>2.6971349997741725E-2</v>
      </c>
      <c r="E12" s="159">
        <f>E11/E9</f>
        <v>0.10966855801123342</v>
      </c>
      <c r="F12" s="160">
        <f>F11/F9</f>
        <v>8.3733030730598318E-2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633.17409986691825</v>
      </c>
      <c r="N19" s="151"/>
      <c r="O19" s="151"/>
    </row>
    <row r="20" spans="1:16" s="150" customFormat="1">
      <c r="A20" s="155" t="s">
        <v>195</v>
      </c>
      <c r="F20" s="178">
        <f>SUM(D91)*0.5</f>
        <v>311.04487760315874</v>
      </c>
      <c r="N20" s="151"/>
      <c r="O20" s="151"/>
    </row>
    <row r="21" spans="1:16" s="150" customFormat="1">
      <c r="A21" s="158" t="s">
        <v>196</v>
      </c>
      <c r="B21" s="170"/>
      <c r="C21" s="170"/>
      <c r="D21" s="170"/>
      <c r="E21" s="170"/>
      <c r="F21" s="179">
        <f>SUM(J91)*0.5</f>
        <v>275.29308689866014</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246</v>
      </c>
      <c r="E24" s="306"/>
      <c r="F24" s="305" t="s">
        <v>230</v>
      </c>
      <c r="G24" s="306"/>
      <c r="H24" s="305" t="s">
        <v>249</v>
      </c>
      <c r="I24" s="307"/>
      <c r="J24" s="308" t="s">
        <v>246</v>
      </c>
      <c r="K24" s="306"/>
      <c r="L24" s="305" t="s">
        <v>230</v>
      </c>
      <c r="M24" s="306"/>
      <c r="N24" s="305" t="s">
        <v>249</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633.16999999999996</v>
      </c>
      <c r="K27" s="209">
        <f>SUM(J59*J27)</f>
        <v>633.16999999999996</v>
      </c>
      <c r="L27" s="191">
        <f>SUM('FY23 Final'!J27)</f>
        <v>525.17999999999995</v>
      </c>
      <c r="M27" s="209">
        <f>SUM('FY23 Final'!K27)</f>
        <v>525.17999999999995</v>
      </c>
      <c r="N27" s="218">
        <f>SUM(J27-L27)</f>
        <v>107.99000000000001</v>
      </c>
      <c r="O27" s="215">
        <f>SUM(N27/L27)</f>
        <v>0.20562473818500326</v>
      </c>
    </row>
    <row r="28" spans="1:16" s="150" customFormat="1">
      <c r="A28" s="155"/>
      <c r="B28" s="150" t="s">
        <v>158</v>
      </c>
      <c r="D28" s="155"/>
      <c r="E28" s="165"/>
      <c r="F28" s="155"/>
      <c r="G28" s="165"/>
      <c r="H28" s="155"/>
      <c r="J28" s="228"/>
      <c r="K28" s="209">
        <f>SUM(K29-K27)</f>
        <v>6066.83</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311.04000000000002</v>
      </c>
      <c r="E31" s="209">
        <f>SUM(D31*F60)</f>
        <v>1244.1600000000001</v>
      </c>
      <c r="F31" s="191">
        <f>SUM('FY23 Final'!D31)</f>
        <v>297.86</v>
      </c>
      <c r="G31" s="209">
        <f>SUM('FY23 Final'!E31)</f>
        <v>1191.44</v>
      </c>
      <c r="H31" s="191">
        <f>SUM(D31-F31)</f>
        <v>13.180000000000007</v>
      </c>
      <c r="I31" s="166">
        <f>SUM(H31/F31)</f>
        <v>4.4248976029006938E-2</v>
      </c>
      <c r="J31" s="281">
        <v>275.29000000000002</v>
      </c>
      <c r="K31" s="209">
        <f>SUM(J31*J60)</f>
        <v>825.87000000000012</v>
      </c>
      <c r="L31" s="191">
        <f>SUM('FY23 Final'!J31)</f>
        <v>228.34</v>
      </c>
      <c r="M31" s="209">
        <f>SUM('FY23 Final'!K31)</f>
        <v>685.02</v>
      </c>
      <c r="N31" s="218">
        <f>SUM(J31-L31)</f>
        <v>46.950000000000017</v>
      </c>
      <c r="O31" s="215">
        <f>SUM(N31/L31)</f>
        <v>0.2056144346150478</v>
      </c>
    </row>
    <row r="32" spans="1:16" s="150" customFormat="1">
      <c r="A32" s="158"/>
      <c r="B32" s="203" t="s">
        <v>160</v>
      </c>
      <c r="C32" s="203"/>
      <c r="D32" s="204"/>
      <c r="E32" s="213">
        <f>SUM(E31)</f>
        <v>1244.1600000000001</v>
      </c>
      <c r="F32" s="217"/>
      <c r="G32" s="213">
        <f>SUM(G31)</f>
        <v>1191.44</v>
      </c>
      <c r="H32" s="204"/>
      <c r="I32" s="203"/>
      <c r="J32" s="226"/>
      <c r="K32" s="213">
        <f>SUM(K31)</f>
        <v>825.87000000000012</v>
      </c>
      <c r="L32" s="217"/>
      <c r="M32" s="213">
        <f>SUM(M31)</f>
        <v>685.02</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246</v>
      </c>
      <c r="E35" s="306"/>
      <c r="F35" s="305" t="s">
        <v>230</v>
      </c>
      <c r="G35" s="306"/>
      <c r="H35" s="188"/>
      <c r="I35" s="152"/>
      <c r="J35" s="308" t="s">
        <v>246</v>
      </c>
      <c r="K35" s="306"/>
      <c r="L35" s="305" t="s">
        <v>230</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51449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460000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250</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v>27339</v>
      </c>
      <c r="F44" s="155"/>
      <c r="G44" s="295">
        <v>27339</v>
      </c>
      <c r="J44" s="228"/>
      <c r="K44" s="278">
        <v>48394</v>
      </c>
      <c r="L44" s="155"/>
      <c r="M44" s="209">
        <v>48394</v>
      </c>
      <c r="N44" s="151"/>
      <c r="O44" s="168"/>
    </row>
    <row r="45" spans="1:16" s="150" customFormat="1">
      <c r="A45" s="158"/>
      <c r="B45" s="203" t="s">
        <v>165</v>
      </c>
      <c r="C45" s="203"/>
      <c r="D45" s="204"/>
      <c r="E45" s="213">
        <f>SUM(E37:E44)</f>
        <v>86788</v>
      </c>
      <c r="F45" s="222"/>
      <c r="G45" s="213">
        <f>SUM(G37:G44)</f>
        <v>80987</v>
      </c>
      <c r="H45" s="205"/>
      <c r="I45" s="205"/>
      <c r="J45" s="230"/>
      <c r="K45" s="213">
        <f>SUM(K37:K44)</f>
        <v>523394</v>
      </c>
      <c r="L45" s="222"/>
      <c r="M45" s="213">
        <f>SUM(M37:M44)</f>
        <v>510894</v>
      </c>
      <c r="N45" s="231"/>
      <c r="O45" s="232"/>
    </row>
    <row r="47" spans="1:16" s="150" customFormat="1">
      <c r="A47" s="260" t="s">
        <v>189</v>
      </c>
      <c r="B47" s="207"/>
      <c r="C47" s="207"/>
      <c r="D47" s="207"/>
      <c r="E47" s="261">
        <f>SUM(E29+E32+E45)</f>
        <v>88032.16</v>
      </c>
      <c r="F47" s="261"/>
      <c r="G47" s="261">
        <f>SUM(G29+G32+G45)</f>
        <v>82178.44</v>
      </c>
      <c r="H47" s="261"/>
      <c r="I47" s="261"/>
      <c r="J47" s="261"/>
      <c r="K47" s="261">
        <f>SUM(K29+K32+K45)</f>
        <v>530919.87</v>
      </c>
      <c r="L47" s="261"/>
      <c r="M47" s="261">
        <f>SUM(M29+M32+M45)</f>
        <v>518279.02</v>
      </c>
      <c r="O47" s="151"/>
      <c r="P47" s="151"/>
    </row>
    <row r="48" spans="1:16" s="150" customFormat="1">
      <c r="A48" s="260" t="s">
        <v>190</v>
      </c>
      <c r="B48" s="207"/>
      <c r="C48" s="207"/>
      <c r="D48" s="207"/>
      <c r="E48" s="261">
        <f>SUM(D10-E47)</f>
        <v>321250.83999999997</v>
      </c>
      <c r="F48" s="207"/>
      <c r="G48" s="261">
        <f>SUM(D9-G47)</f>
        <v>316355.56</v>
      </c>
      <c r="H48" s="207"/>
      <c r="I48" s="207"/>
      <c r="J48" s="207"/>
      <c r="K48" s="261">
        <f>SUM(E10-K47)</f>
        <v>436954.13</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3" t="s">
        <v>132</v>
      </c>
      <c r="B57" s="314"/>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SUM(C58*$E$55)</f>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251</v>
      </c>
      <c r="F66" s="161" t="s">
        <v>234</v>
      </c>
      <c r="H66" s="152" t="s">
        <v>185</v>
      </c>
      <c r="I66" s="152"/>
      <c r="J66" s="152"/>
      <c r="K66" s="152"/>
      <c r="L66" s="152"/>
    </row>
    <row r="67" spans="1:12" s="150" customFormat="1">
      <c r="A67" s="313" t="s">
        <v>43</v>
      </c>
      <c r="B67" s="314"/>
      <c r="C67" s="314"/>
      <c r="D67" s="166">
        <f>SUM(-(K68)*5/100)</f>
        <v>-2.9799392656666975E-2</v>
      </c>
      <c r="E67" s="166">
        <f>SUM(D56+D67)</f>
        <v>0.53561537520951774</v>
      </c>
      <c r="F67" s="173">
        <f>SUM('FY23 Final'!E67)</f>
        <v>0.54275813057185429</v>
      </c>
      <c r="J67" s="258" t="s">
        <v>186</v>
      </c>
      <c r="K67" s="302" t="s">
        <v>187</v>
      </c>
      <c r="L67" s="304"/>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316" t="s">
        <v>246</v>
      </c>
      <c r="D73" s="317"/>
      <c r="E73" s="316" t="s">
        <v>230</v>
      </c>
      <c r="F73" s="317"/>
    </row>
    <row r="74" spans="1:12" s="150" customFormat="1">
      <c r="A74" s="164"/>
      <c r="B74" s="154"/>
      <c r="C74" s="153" t="s">
        <v>2</v>
      </c>
      <c r="D74" s="176" t="s">
        <v>26</v>
      </c>
      <c r="E74" s="153" t="s">
        <v>2</v>
      </c>
      <c r="F74" s="176" t="s">
        <v>26</v>
      </c>
    </row>
    <row r="75" spans="1:12" s="150" customFormat="1">
      <c r="A75" s="309" t="s">
        <v>191</v>
      </c>
      <c r="B75" s="310"/>
      <c r="C75" s="208">
        <f>SUM(E48)</f>
        <v>321250.83999999997</v>
      </c>
      <c r="D75" s="209">
        <f>SUM(K48)</f>
        <v>436954.13</v>
      </c>
      <c r="E75" s="192">
        <f>SUM(G48)</f>
        <v>316355.56</v>
      </c>
      <c r="F75" s="178">
        <f>SUM(M48)</f>
        <v>353939.98</v>
      </c>
    </row>
    <row r="76" spans="1:12" s="150" customFormat="1">
      <c r="A76" s="309"/>
      <c r="B76" s="310"/>
      <c r="C76" s="208"/>
      <c r="D76" s="209"/>
      <c r="E76" s="192"/>
      <c r="F76" s="178"/>
    </row>
    <row r="77" spans="1:12" s="150" customFormat="1">
      <c r="A77" s="155" t="s">
        <v>43</v>
      </c>
      <c r="C77" s="191">
        <f>SUM($C$75)*E67</f>
        <v>172066.88920297273</v>
      </c>
      <c r="D77" s="178">
        <f>SUM($D$75)*H56</f>
        <v>308317.01140786172</v>
      </c>
      <c r="E77" s="193">
        <f>SUM('FY23 Final'!C77)</f>
        <v>171704.55234161209</v>
      </c>
      <c r="F77" s="178">
        <f>SUM('FY23 Final'!D77)</f>
        <v>247855.75598569581</v>
      </c>
    </row>
    <row r="78" spans="1:12" s="150" customFormat="1">
      <c r="A78" s="155" t="s">
        <v>132</v>
      </c>
      <c r="C78" s="191">
        <f>SUM($C$75)*E68</f>
        <v>116641.82910118451</v>
      </c>
      <c r="D78" s="178">
        <f>SUM($D$75)*H57</f>
        <v>100481.97671801095</v>
      </c>
      <c r="E78" s="193">
        <f>SUM('FY23 Final'!C78)</f>
        <v>113252.85730866299</v>
      </c>
      <c r="F78" s="178">
        <f>SUM('FY23 Final'!D78)</f>
        <v>84488.931049757666</v>
      </c>
    </row>
    <row r="79" spans="1:12" s="150" customFormat="1">
      <c r="A79" s="158" t="s">
        <v>133</v>
      </c>
      <c r="B79" s="170"/>
      <c r="C79" s="265">
        <f>SUM($C$75)*E69</f>
        <v>32542.121695842718</v>
      </c>
      <c r="D79" s="179">
        <f>SUM($D$75)*H58</f>
        <v>28155.141874127305</v>
      </c>
      <c r="E79" s="266">
        <f>SUM('FY23 Final'!C79)</f>
        <v>31398.150349724889</v>
      </c>
      <c r="F79" s="179">
        <f>SUM('FY23 Final'!D79)</f>
        <v>21595.292964546497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246</v>
      </c>
      <c r="E84" s="306"/>
      <c r="F84" s="305" t="s">
        <v>230</v>
      </c>
      <c r="G84" s="306"/>
      <c r="H84" s="305" t="s">
        <v>249</v>
      </c>
      <c r="I84" s="307"/>
      <c r="J84" s="308" t="s">
        <v>246</v>
      </c>
      <c r="K84" s="306"/>
      <c r="L84" s="305" t="s">
        <v>230</v>
      </c>
      <c r="M84" s="306"/>
      <c r="N84" s="312" t="s">
        <v>249</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122.6129851802656</v>
      </c>
      <c r="E87" s="209">
        <f>SUM(D87*F56)</f>
        <v>51620.066760891816</v>
      </c>
      <c r="F87" s="212">
        <f>SUM('FY23 Final'!D87)</f>
        <v>122.06484763621711</v>
      </c>
      <c r="G87" s="209">
        <f>SUM('FY23 Final'!E87)</f>
        <v>51511.365702483621</v>
      </c>
      <c r="H87" s="191">
        <f>SUM(D87-F87)</f>
        <v>0.5481375440484868</v>
      </c>
      <c r="I87" s="167">
        <f>SUM(H87/F87)</f>
        <v>4.4905437942467253E-3</v>
      </c>
      <c r="J87" s="270">
        <f>SUM(D77*C87)/J56</f>
        <v>220.75203680753822</v>
      </c>
      <c r="K87" s="209">
        <f>SUM(J87*J56)</f>
        <v>92495.103422358516</v>
      </c>
      <c r="L87" s="212">
        <f>SUM('FY23 Final'!J87)</f>
        <v>177.46235512102325</v>
      </c>
      <c r="M87" s="209">
        <f>SUM('FY23 Final'!K87)</f>
        <v>74356.726795708746</v>
      </c>
      <c r="N87" s="177">
        <f>SUM(J87-L87)</f>
        <v>43.289681686514967</v>
      </c>
      <c r="O87" s="199">
        <f>SUM(N87/L87)</f>
        <v>0.24393726577669325</v>
      </c>
      <c r="P87" s="150"/>
    </row>
    <row r="88" spans="1:16">
      <c r="A88" s="155"/>
      <c r="B88" s="150" t="s">
        <v>147</v>
      </c>
      <c r="C88" s="198">
        <v>0.7</v>
      </c>
      <c r="D88" s="269">
        <f>SUM(C77*C88)/(E56*0.001)</f>
        <v>12.651177146369619</v>
      </c>
      <c r="E88" s="209">
        <f>SUM(D88)*(E56*0.001)</f>
        <v>120446.8224420809</v>
      </c>
      <c r="F88" s="212">
        <f>SUM('FY23 Final'!D88)</f>
        <v>12.334547767384791</v>
      </c>
      <c r="G88" s="209">
        <f>SUM('FY23 Final'!E88)</f>
        <v>120193.18663912846</v>
      </c>
      <c r="H88" s="191">
        <f>SUM(D88-F88)</f>
        <v>0.31662937898482824</v>
      </c>
      <c r="I88" s="167">
        <f>SUM(H88/F88)</f>
        <v>2.5670124673890737E-2</v>
      </c>
      <c r="J88" s="270">
        <f>SUM(D77*C88)/(I56*0.001)</f>
        <v>22.81689995958321</v>
      </c>
      <c r="K88" s="209">
        <f>SUM(J88)*(I56*0.001)</f>
        <v>215821.90798550317</v>
      </c>
      <c r="L88" s="191">
        <f>SUM('FY23 Final'!J88)</f>
        <v>18.045401568074816</v>
      </c>
      <c r="M88" s="209">
        <f>SUM('FY23 Final'!K88)</f>
        <v>173499.02918998705</v>
      </c>
      <c r="N88" s="177">
        <f>SUM(J88-L88)</f>
        <v>4.7714983915083948</v>
      </c>
      <c r="O88" s="199">
        <f t="shared" ref="O88:O96" si="1">SUM(N88/L88)</f>
        <v>0.26441630425947038</v>
      </c>
      <c r="P88" s="150"/>
    </row>
    <row r="89" spans="1:16">
      <c r="A89" s="158"/>
      <c r="B89" s="170" t="s">
        <v>160</v>
      </c>
      <c r="C89" s="158"/>
      <c r="D89" s="158"/>
      <c r="E89" s="267">
        <f>SUM(E87:E88)</f>
        <v>172066.8892029727</v>
      </c>
      <c r="F89" s="158"/>
      <c r="G89" s="267">
        <f>SUM(G87:G88)</f>
        <v>171704.55234161209</v>
      </c>
      <c r="H89" s="158"/>
      <c r="I89" s="170"/>
      <c r="J89" s="239"/>
      <c r="K89" s="267">
        <f>SUM(K87:K88)</f>
        <v>308317.01140786172</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622.08975520631748</v>
      </c>
      <c r="E91" s="209">
        <f>SUM(D91*F57)</f>
        <v>46656.731640473809</v>
      </c>
      <c r="F91" s="212">
        <f>SUM('FY23 Final'!D91)</f>
        <v>596.06767004559481</v>
      </c>
      <c r="G91" s="209">
        <f>SUM('FY23 Final'!E91)</f>
        <v>45301.142923465202</v>
      </c>
      <c r="H91" s="191">
        <f>SUM(D91-F91)</f>
        <v>26.022085160722668</v>
      </c>
      <c r="I91" s="167">
        <f>SUM(H91/F91)</f>
        <v>4.3656259965805841E-2</v>
      </c>
      <c r="J91" s="270">
        <f>SUM(D78*C91)/J57</f>
        <v>550.58617379732027</v>
      </c>
      <c r="K91" s="209">
        <f>SUM(J91*J57)</f>
        <v>40192.790687204382</v>
      </c>
      <c r="L91" s="212">
        <f>SUM('FY23 Final'!J91)</f>
        <v>456.69692459328468</v>
      </c>
      <c r="M91" s="209">
        <f>SUM('FY23 Final'!K91)</f>
        <v>33795.572419903066</v>
      </c>
      <c r="N91" s="177">
        <f>SUM(J91-L91)</f>
        <v>93.889249204035593</v>
      </c>
      <c r="O91" s="199">
        <f t="shared" si="1"/>
        <v>0.205583274482633</v>
      </c>
      <c r="P91" s="150"/>
    </row>
    <row r="92" spans="1:16">
      <c r="A92" s="155"/>
      <c r="B92" s="150" t="s">
        <v>147</v>
      </c>
      <c r="C92" s="198">
        <v>0.6</v>
      </c>
      <c r="D92" s="269">
        <f>SUM(C78*C92)/(E57*0.001)</f>
        <v>10.843866125459677</v>
      </c>
      <c r="E92" s="209">
        <f>SUM(D92)*(E57*0.001)</f>
        <v>69985.097460710705</v>
      </c>
      <c r="F92" s="191">
        <f>SUM('FY23 Final'!D92)</f>
        <v>10.57246951490125</v>
      </c>
      <c r="G92" s="209">
        <f>SUM('FY23 Final'!E92)</f>
        <v>67951.714385197789</v>
      </c>
      <c r="H92" s="191">
        <f>SUM(D92-F92)</f>
        <v>0.27139661055842623</v>
      </c>
      <c r="I92" s="167">
        <f>SUM(H92/F92)</f>
        <v>2.5670124673890928E-2</v>
      </c>
      <c r="J92" s="270">
        <f>SUM(D78*C92)/(I57*0.001)</f>
        <v>19.557342822499898</v>
      </c>
      <c r="K92" s="209">
        <f>SUM(J92)*(I57*0.001)</f>
        <v>60289.186030806566</v>
      </c>
      <c r="L92" s="191">
        <f>SUM('FY23 Final'!J92)</f>
        <v>15.467487058349844</v>
      </c>
      <c r="M92" s="209">
        <f>SUM('FY23 Final'!K92)</f>
        <v>50693.3586298546</v>
      </c>
      <c r="N92" s="177">
        <f>SUM(J92-L92)</f>
        <v>4.0898557641500535</v>
      </c>
      <c r="O92" s="199">
        <f t="shared" si="1"/>
        <v>0.26441630425947044</v>
      </c>
      <c r="P92" s="150"/>
    </row>
    <row r="93" spans="1:16">
      <c r="A93" s="158"/>
      <c r="B93" s="170" t="s">
        <v>160</v>
      </c>
      <c r="C93" s="158"/>
      <c r="D93" s="158"/>
      <c r="E93" s="267">
        <f>SUM(E91:E92)</f>
        <v>116641.82910118451</v>
      </c>
      <c r="F93" s="158"/>
      <c r="G93" s="267">
        <f>SUM(G91:G92)</f>
        <v>113252.85730866299</v>
      </c>
      <c r="H93" s="158"/>
      <c r="I93" s="170"/>
      <c r="J93" s="239"/>
      <c r="K93" s="267">
        <f>SUM(K91:K92)</f>
        <v>100481.97671801095</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5423.6869493071199</v>
      </c>
      <c r="E95" s="209">
        <f>SUM(D95*F58)</f>
        <v>16271.060847921359</v>
      </c>
      <c r="F95" s="212">
        <f>SUM('FY23 Final'!D95)</f>
        <v>5233.0250582874814</v>
      </c>
      <c r="G95" s="209">
        <f>SUM('FY23 Final'!E95)</f>
        <v>15699.075174862444</v>
      </c>
      <c r="H95" s="191">
        <f>SUM(D95-F95)</f>
        <v>190.66189101963846</v>
      </c>
      <c r="I95" s="167">
        <f>SUM(H95/F95)</f>
        <v>3.6434354679362645E-2</v>
      </c>
      <c r="J95" s="270">
        <f>SUM(D79*C95)/J58</f>
        <v>4692.5236456878838</v>
      </c>
      <c r="K95" s="209">
        <f>SUM(J95*J58)</f>
        <v>14077.57093706365</v>
      </c>
      <c r="L95" s="212">
        <f>SUM('FY23 Final'!J95)</f>
        <v>3599.2154940910827</v>
      </c>
      <c r="M95" s="209">
        <f>SUM('FY23 Final'!K95)</f>
        <v>10797.646482273249</v>
      </c>
      <c r="N95" s="177">
        <f>SUM(J95-L95)</f>
        <v>1093.3081515968011</v>
      </c>
      <c r="O95" s="199">
        <f t="shared" si="1"/>
        <v>0.30376290427503183</v>
      </c>
      <c r="P95" s="150"/>
    </row>
    <row r="96" spans="1:16">
      <c r="A96" s="155"/>
      <c r="B96" s="150" t="s">
        <v>147</v>
      </c>
      <c r="C96" s="198">
        <v>0.5</v>
      </c>
      <c r="D96" s="269">
        <f>SUM(C79*C96)/(E58*0.001)</f>
        <v>18.83721728409969</v>
      </c>
      <c r="E96" s="209">
        <f>SUM(D96)*(E58*0.001)</f>
        <v>16271.060847921359</v>
      </c>
      <c r="F96" s="191">
        <f>SUM('FY23 Final'!D96)</f>
        <v>18.740599513506492</v>
      </c>
      <c r="G96" s="209">
        <f>SUM('FY23 Final'!E96)</f>
        <v>15699.075174862444</v>
      </c>
      <c r="H96" s="191">
        <f>SUM(D96-F96)</f>
        <v>9.6617770593198316E-2</v>
      </c>
      <c r="I96" s="167">
        <f>SUM(H96/F96)</f>
        <v>5.1555325390505871E-3</v>
      </c>
      <c r="J96" s="270">
        <f>SUM(D79*C96)/(I58*0.001)</f>
        <v>16.297785685416581</v>
      </c>
      <c r="K96" s="209">
        <f>SUM(J96)*(I58*0.001)</f>
        <v>14077.570937063652</v>
      </c>
      <c r="L96" s="191">
        <f>SUM('FY23 Final'!J96)</f>
        <v>12.889572548624869</v>
      </c>
      <c r="M96" s="209">
        <f>SUM('FY23 Final'!K96)</f>
        <v>10797.646482273249</v>
      </c>
      <c r="N96" s="177">
        <f>SUM(J96-L96)</f>
        <v>3.4082131367917121</v>
      </c>
      <c r="O96" s="199">
        <f t="shared" si="1"/>
        <v>0.26441630425947049</v>
      </c>
      <c r="P96" s="150"/>
    </row>
    <row r="97" spans="1:16">
      <c r="A97" s="158"/>
      <c r="B97" s="170" t="s">
        <v>160</v>
      </c>
      <c r="C97" s="158"/>
      <c r="D97" s="158"/>
      <c r="E97" s="267">
        <f>SUM(E95:E96)</f>
        <v>32542.121695842718</v>
      </c>
      <c r="F97" s="158"/>
      <c r="G97" s="267">
        <f>SUM(G95:G96)</f>
        <v>31398.150349724889</v>
      </c>
      <c r="H97" s="158"/>
      <c r="I97" s="170"/>
      <c r="J97" s="239"/>
      <c r="K97" s="267">
        <f>SUM(K95:K96)</f>
        <v>28155.141874127301</v>
      </c>
      <c r="L97" s="158"/>
      <c r="M97" s="267">
        <f>SUM(M95:M96)</f>
        <v>21595.292964546497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173741.01924928697</v>
      </c>
      <c r="H103" s="209">
        <f>SUM(K87+K91+K95+K27+K32+(0.5*K39)+K41+K43)</f>
        <v>393224.50504662655</v>
      </c>
    </row>
    <row r="104" spans="1:16">
      <c r="A104" s="155" t="s">
        <v>171</v>
      </c>
      <c r="G104" s="208">
        <f>SUM(E88+E92+E96+E37)</f>
        <v>208202.98075071297</v>
      </c>
      <c r="H104" s="209">
        <f>SUM(K88+K92+K96+K28+(0.5*K39))</f>
        <v>526255.49495337345</v>
      </c>
    </row>
    <row r="105" spans="1:16">
      <c r="A105" s="155" t="s">
        <v>242</v>
      </c>
      <c r="G105" s="208">
        <f>E44</f>
        <v>27339</v>
      </c>
      <c r="H105" s="209">
        <f>K44</f>
        <v>48394</v>
      </c>
    </row>
    <row r="106" spans="1:16">
      <c r="A106" s="234" t="s">
        <v>142</v>
      </c>
      <c r="B106" s="207"/>
      <c r="C106" s="207"/>
      <c r="D106" s="207"/>
      <c r="E106" s="207"/>
      <c r="F106" s="207"/>
      <c r="G106" s="235">
        <f>SUM(G103:G105)</f>
        <v>409282.99999999994</v>
      </c>
      <c r="H106" s="236">
        <f>SUM(H103:H105)</f>
        <v>967874</v>
      </c>
    </row>
    <row r="107" spans="1:16">
      <c r="A107" s="155" t="s">
        <v>207</v>
      </c>
      <c r="G107" s="208">
        <f>SUM(D10-G106)</f>
        <v>5.8207660913467407E-11</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0.83198541974594742</v>
      </c>
      <c r="H109" s="175">
        <f>SUM(1-(H108-H103)/H108)</f>
        <v>1.9047975675459896</v>
      </c>
    </row>
    <row r="112" spans="1:16" ht="23.25">
      <c r="A112" s="264" t="s">
        <v>174</v>
      </c>
    </row>
    <row r="113" spans="1:23">
      <c r="D113" s="316" t="s">
        <v>246</v>
      </c>
      <c r="E113" s="318"/>
      <c r="F113" s="319" t="s">
        <v>230</v>
      </c>
      <c r="G113" s="317"/>
    </row>
    <row r="114" spans="1:23">
      <c r="D114" s="250" t="s">
        <v>2</v>
      </c>
      <c r="E114" s="151" t="s">
        <v>26</v>
      </c>
      <c r="F114" s="237" t="s">
        <v>2</v>
      </c>
      <c r="G114" s="168" t="s">
        <v>26</v>
      </c>
      <c r="O114" s="150"/>
      <c r="P114" s="150"/>
      <c r="Q114" s="150"/>
      <c r="R114" s="150"/>
      <c r="S114" s="150"/>
      <c r="T114" s="150"/>
      <c r="U114" s="150"/>
      <c r="V114" s="150"/>
      <c r="W114" s="150"/>
    </row>
    <row r="115" spans="1:23">
      <c r="A115" s="153" t="s">
        <v>43</v>
      </c>
      <c r="B115" s="154"/>
      <c r="C115" s="154"/>
      <c r="D115" s="164"/>
      <c r="E115" s="240"/>
      <c r="F115" s="227"/>
      <c r="G115" s="161"/>
      <c r="O115" s="150"/>
      <c r="P115" s="150"/>
      <c r="Q115" s="150"/>
      <c r="R115" s="150"/>
      <c r="S115" s="150"/>
      <c r="T115" s="150"/>
      <c r="U115" s="150"/>
      <c r="V115" s="150"/>
      <c r="W115" s="150"/>
    </row>
    <row r="116" spans="1:23">
      <c r="A116" s="155" t="s">
        <v>147</v>
      </c>
      <c r="D116" s="191">
        <f>SUM((E56/F56)/1000)*D88</f>
        <v>286.09696542061971</v>
      </c>
      <c r="E116" s="241">
        <f>SUM((I56/J56)/1000)*J88</f>
        <v>515.08808588425586</v>
      </c>
      <c r="F116" s="238">
        <f>SUM('FY23 Final'!D115)</f>
        <v>284.81797781783996</v>
      </c>
      <c r="G116" s="178">
        <f>SUM('FY23 Final'!E115)</f>
        <v>414.07882861572079</v>
      </c>
      <c r="O116" s="150"/>
      <c r="P116" s="150"/>
      <c r="Q116" s="150"/>
      <c r="R116" s="150"/>
      <c r="S116" s="150"/>
      <c r="T116" s="150"/>
      <c r="U116" s="150"/>
      <c r="V116" s="150"/>
      <c r="W116" s="150"/>
    </row>
    <row r="117" spans="1:23">
      <c r="A117" s="155" t="s">
        <v>175</v>
      </c>
      <c r="D117" s="191">
        <f>SUM(D87)</f>
        <v>122.6129851802656</v>
      </c>
      <c r="E117" s="241">
        <f>SUM(J87)</f>
        <v>220.75203680753822</v>
      </c>
      <c r="F117" s="238">
        <f>SUM('FY23 Final'!D116)</f>
        <v>122.06484763621711</v>
      </c>
      <c r="G117" s="178">
        <f>SUM('FY23 Final'!E116)</f>
        <v>177.46235512102325</v>
      </c>
      <c r="O117" s="150"/>
      <c r="P117" s="150"/>
      <c r="Q117" s="150"/>
      <c r="R117" s="150"/>
      <c r="S117" s="150"/>
      <c r="T117" s="150"/>
      <c r="U117" s="150"/>
      <c r="V117" s="150"/>
      <c r="W117" s="150"/>
    </row>
    <row r="118" spans="1:23">
      <c r="A118" s="155" t="s">
        <v>142</v>
      </c>
      <c r="D118" s="191">
        <f>SUM(D116:D117)</f>
        <v>408.70995060088529</v>
      </c>
      <c r="E118" s="241">
        <f>SUM(E116:E117)</f>
        <v>735.84012269179402</v>
      </c>
      <c r="F118" s="238">
        <f>SUM('FY23 Final'!D117)</f>
        <v>406.88282545405707</v>
      </c>
      <c r="G118" s="178">
        <f>SUM('FY23 Final'!E117)</f>
        <v>591.54118373674407</v>
      </c>
      <c r="O118" s="150"/>
      <c r="P118" s="150"/>
      <c r="Q118" s="150"/>
      <c r="R118" s="150"/>
      <c r="S118" s="150"/>
      <c r="T118" s="150"/>
      <c r="U118" s="150"/>
      <c r="V118" s="150"/>
      <c r="W118" s="150"/>
    </row>
    <row r="119" spans="1:23">
      <c r="A119" s="234" t="s">
        <v>176</v>
      </c>
      <c r="B119" s="207"/>
      <c r="C119" s="207"/>
      <c r="D119" s="244">
        <f>SUM(D118:E118)</f>
        <v>1144.5500732926794</v>
      </c>
      <c r="E119" s="242"/>
      <c r="F119" s="238">
        <f>SUM('FY23 Final'!D118)</f>
        <v>998.42400919080114</v>
      </c>
      <c r="G119" s="178"/>
      <c r="O119" s="150"/>
      <c r="P119" s="150"/>
      <c r="Q119" s="150"/>
      <c r="R119" s="150"/>
      <c r="S119" s="150"/>
      <c r="T119" s="150"/>
      <c r="U119" s="150"/>
      <c r="V119" s="150"/>
      <c r="W119" s="150"/>
    </row>
    <row r="120" spans="1:23">
      <c r="A120" s="234" t="s">
        <v>177</v>
      </c>
      <c r="B120" s="207"/>
      <c r="C120" s="207"/>
      <c r="D120" s="244">
        <f>SUM(D119-F119)</f>
        <v>146.12606410187823</v>
      </c>
      <c r="E120" s="242"/>
      <c r="F120" s="228"/>
      <c r="G120" s="165"/>
      <c r="O120" s="150"/>
      <c r="P120" s="150"/>
      <c r="Q120" s="150"/>
      <c r="R120" s="150"/>
      <c r="S120" s="150"/>
      <c r="T120" s="150"/>
      <c r="U120" s="150"/>
      <c r="V120" s="150"/>
      <c r="W120" s="150"/>
    </row>
    <row r="121" spans="1:23">
      <c r="A121" s="204" t="s">
        <v>178</v>
      </c>
      <c r="B121" s="203"/>
      <c r="C121" s="203"/>
      <c r="D121" s="245">
        <f>SUM(D120/F119)</f>
        <v>0.14635672094895827</v>
      </c>
      <c r="E121" s="243"/>
      <c r="F121" s="239"/>
      <c r="G121" s="190"/>
      <c r="O121" s="150"/>
      <c r="P121" s="150"/>
      <c r="Q121" s="150"/>
      <c r="R121" s="150"/>
      <c r="S121" s="150"/>
      <c r="T121" s="150"/>
      <c r="U121" s="150"/>
      <c r="V121" s="150"/>
      <c r="W121" s="150"/>
    </row>
    <row r="122" spans="1:23">
      <c r="D122" s="155"/>
      <c r="E122" s="242"/>
      <c r="F122" s="228"/>
      <c r="O122" s="150"/>
      <c r="P122" s="150"/>
      <c r="Q122" s="150"/>
      <c r="R122" s="150"/>
      <c r="S122" s="150"/>
      <c r="T122" s="150"/>
      <c r="U122" s="150"/>
      <c r="V122" s="150"/>
      <c r="W122" s="150"/>
    </row>
    <row r="123" spans="1:23">
      <c r="A123" s="153" t="s">
        <v>132</v>
      </c>
      <c r="B123" s="154"/>
      <c r="C123" s="154"/>
      <c r="D123" s="164"/>
      <c r="E123" s="240"/>
      <c r="F123" s="227"/>
      <c r="G123" s="161"/>
      <c r="O123" s="150"/>
      <c r="P123" s="150"/>
      <c r="Q123" s="150"/>
      <c r="R123" s="150"/>
      <c r="S123" s="150"/>
      <c r="T123" s="150"/>
      <c r="U123" s="150"/>
      <c r="V123" s="150"/>
      <c r="W123" s="150"/>
    </row>
    <row r="124" spans="1:23">
      <c r="A124" s="155" t="s">
        <v>147</v>
      </c>
      <c r="D124" s="191">
        <f>SUM((E57/F57)/1000)*D92</f>
        <v>933.13463280947599</v>
      </c>
      <c r="E124" s="241">
        <f>SUM((I57/J57)/1000)*J92</f>
        <v>825.87926069598041</v>
      </c>
      <c r="F124" s="238">
        <f>SUM('FY23 Final'!D123)</f>
        <v>894.10150506839204</v>
      </c>
      <c r="G124" s="178">
        <f>SUM('FY23 Final'!E123)</f>
        <v>685.04538688992704</v>
      </c>
      <c r="O124" s="150"/>
      <c r="P124" s="150"/>
      <c r="Q124" s="150"/>
      <c r="R124" s="150"/>
      <c r="S124" s="150"/>
      <c r="T124" s="150"/>
      <c r="U124" s="150"/>
      <c r="V124" s="150"/>
      <c r="W124" s="150"/>
    </row>
    <row r="125" spans="1:23">
      <c r="A125" s="155" t="s">
        <v>175</v>
      </c>
      <c r="D125" s="191">
        <f>SUM(D91)</f>
        <v>622.08975520631748</v>
      </c>
      <c r="E125" s="241">
        <f>SUM(J91)</f>
        <v>550.58617379732027</v>
      </c>
      <c r="F125" s="238">
        <f>SUM('FY23 Final'!D124)</f>
        <v>596.06767004559481</v>
      </c>
      <c r="G125" s="178">
        <f>SUM('FY23 Final'!E124)</f>
        <v>456.69692459328468</v>
      </c>
      <c r="O125" s="150"/>
      <c r="P125" s="150"/>
      <c r="Q125" s="150"/>
      <c r="R125" s="150"/>
      <c r="S125" s="150"/>
      <c r="T125" s="150"/>
      <c r="U125" s="150"/>
      <c r="V125" s="150"/>
      <c r="W125" s="150"/>
    </row>
    <row r="126" spans="1:23">
      <c r="A126" s="155" t="s">
        <v>142</v>
      </c>
      <c r="D126" s="191">
        <f>SUM(D124:D125)</f>
        <v>1555.2243880157935</v>
      </c>
      <c r="E126" s="241">
        <f>SUM(E124:E125)</f>
        <v>1376.4654344933006</v>
      </c>
      <c r="F126" s="238">
        <f>SUM('FY23 Final'!D125)</f>
        <v>1490.169175113987</v>
      </c>
      <c r="G126" s="178">
        <f>SUM('FY23 Final'!E125)</f>
        <v>1141.7423114832118</v>
      </c>
      <c r="O126" s="150"/>
      <c r="P126" s="150"/>
      <c r="Q126" s="150"/>
      <c r="R126" s="150"/>
      <c r="S126" s="150"/>
      <c r="T126" s="150"/>
      <c r="U126" s="150"/>
      <c r="V126" s="150"/>
      <c r="W126" s="150"/>
    </row>
    <row r="127" spans="1:23">
      <c r="A127" s="234" t="s">
        <v>176</v>
      </c>
      <c r="B127" s="207"/>
      <c r="C127" s="207"/>
      <c r="D127" s="244">
        <f>SUM(D126:E126)</f>
        <v>2931.689822509094</v>
      </c>
      <c r="E127" s="242"/>
      <c r="F127" s="238">
        <f>SUM('FY23 Final'!D126)</f>
        <v>2631.9114865971987</v>
      </c>
      <c r="G127" s="178"/>
      <c r="O127" s="150"/>
      <c r="P127" s="150"/>
      <c r="Q127" s="150"/>
      <c r="R127" s="150"/>
      <c r="S127" s="150"/>
      <c r="T127" s="150"/>
      <c r="U127" s="150"/>
      <c r="V127" s="150"/>
      <c r="W127" s="150"/>
    </row>
    <row r="128" spans="1:23">
      <c r="A128" s="234" t="s">
        <v>177</v>
      </c>
      <c r="B128" s="207"/>
      <c r="C128" s="207"/>
      <c r="D128" s="244">
        <f>SUM(D127-F127)</f>
        <v>299.77833591189528</v>
      </c>
      <c r="E128" s="242"/>
      <c r="F128" s="228"/>
      <c r="G128" s="165"/>
      <c r="O128" s="150"/>
      <c r="P128" s="150"/>
      <c r="Q128" s="150"/>
      <c r="R128" s="150"/>
      <c r="S128" s="150"/>
      <c r="T128" s="150"/>
      <c r="U128" s="150"/>
      <c r="V128" s="150"/>
      <c r="W128" s="150"/>
    </row>
    <row r="129" spans="1:23">
      <c r="A129" s="204" t="s">
        <v>178</v>
      </c>
      <c r="B129" s="203"/>
      <c r="C129" s="203"/>
      <c r="D129" s="245">
        <f>SUM(D128/F127)</f>
        <v>0.11390137450993043</v>
      </c>
      <c r="E129" s="243"/>
      <c r="F129" s="239"/>
      <c r="G129" s="190"/>
      <c r="O129" s="150"/>
      <c r="P129" s="150"/>
      <c r="Q129" s="150"/>
      <c r="R129" s="150"/>
      <c r="S129" s="150"/>
      <c r="T129" s="150"/>
      <c r="U129" s="150"/>
      <c r="V129" s="150"/>
      <c r="W129" s="150"/>
    </row>
    <row r="130" spans="1:23">
      <c r="D130" s="155"/>
      <c r="E130" s="242"/>
      <c r="F130" s="228"/>
      <c r="O130" s="150"/>
      <c r="P130" s="150"/>
      <c r="Q130" s="150"/>
      <c r="R130" s="150"/>
      <c r="S130" s="150"/>
      <c r="T130" s="150"/>
      <c r="U130" s="150"/>
      <c r="V130" s="150"/>
      <c r="W130" s="150"/>
    </row>
    <row r="131" spans="1:23">
      <c r="A131" s="153" t="s">
        <v>133</v>
      </c>
      <c r="B131" s="154"/>
      <c r="C131" s="154"/>
      <c r="D131" s="164"/>
      <c r="E131" s="240"/>
      <c r="F131" s="227"/>
      <c r="G131" s="161"/>
      <c r="O131" s="150"/>
      <c r="P131" s="150"/>
      <c r="Q131" s="150"/>
      <c r="R131" s="150"/>
      <c r="S131" s="150"/>
      <c r="T131" s="150"/>
      <c r="U131" s="150"/>
      <c r="V131" s="150"/>
      <c r="W131" s="150"/>
    </row>
    <row r="132" spans="1:23">
      <c r="A132" s="155" t="s">
        <v>147</v>
      </c>
      <c r="D132" s="191">
        <f>SUM((E58/F58)/1000)*D96</f>
        <v>5423.686949307119</v>
      </c>
      <c r="E132" s="241">
        <f>SUM((I58/J58)/1000)*J96</f>
        <v>4692.5236456878838</v>
      </c>
      <c r="F132" s="238">
        <f>SUM('FY23 Final'!D131)</f>
        <v>5233.0250582874805</v>
      </c>
      <c r="G132" s="178">
        <f>SUM('FY23 Final'!E131)</f>
        <v>3599.2154940910827</v>
      </c>
      <c r="O132" s="150"/>
      <c r="P132" s="150"/>
      <c r="Q132" s="150"/>
      <c r="R132" s="150"/>
      <c r="S132" s="150"/>
      <c r="T132" s="150"/>
      <c r="U132" s="150"/>
      <c r="V132" s="150"/>
      <c r="W132" s="150"/>
    </row>
    <row r="133" spans="1:23">
      <c r="A133" s="155" t="s">
        <v>175</v>
      </c>
      <c r="D133" s="191">
        <f>SUM(D95)</f>
        <v>5423.6869493071199</v>
      </c>
      <c r="E133" s="241">
        <f>SUM(J95)</f>
        <v>4692.5236456878838</v>
      </c>
      <c r="F133" s="238">
        <f>SUM('FY23 Final'!D132)</f>
        <v>5233.0250582874814</v>
      </c>
      <c r="G133" s="178">
        <f>SUM('FY23 Final'!E132)</f>
        <v>3599.2154940910827</v>
      </c>
      <c r="O133" s="150"/>
      <c r="P133" s="150"/>
      <c r="Q133" s="150"/>
      <c r="R133" s="150"/>
      <c r="S133" s="150"/>
      <c r="T133" s="150"/>
      <c r="U133" s="150"/>
      <c r="V133" s="150"/>
      <c r="W133" s="150"/>
    </row>
    <row r="134" spans="1:23">
      <c r="A134" s="155" t="s">
        <v>142</v>
      </c>
      <c r="D134" s="191">
        <f>SUM(D132:D133)</f>
        <v>10847.373898614238</v>
      </c>
      <c r="E134" s="241">
        <f>SUM(E132:E133)</f>
        <v>9385.0472913757676</v>
      </c>
      <c r="F134" s="238">
        <f>SUM('FY23 Final'!D133)</f>
        <v>10466.050116574963</v>
      </c>
      <c r="G134" s="178">
        <f>SUM('FY23 Final'!E133)</f>
        <v>7198.4309881821655</v>
      </c>
      <c r="O134" s="150"/>
      <c r="P134" s="150"/>
      <c r="Q134" s="150"/>
      <c r="R134" s="150"/>
      <c r="S134" s="150"/>
      <c r="T134" s="150"/>
      <c r="U134" s="150"/>
      <c r="V134" s="150"/>
      <c r="W134" s="150"/>
    </row>
    <row r="135" spans="1:23">
      <c r="A135" s="234" t="s">
        <v>176</v>
      </c>
      <c r="B135" s="207"/>
      <c r="C135" s="207"/>
      <c r="D135" s="244">
        <f>SUM(D134:E134)</f>
        <v>20232.421189990004</v>
      </c>
      <c r="E135" s="242"/>
      <c r="F135" s="238">
        <f>SUM('FY23 Final'!D134)</f>
        <v>17664.481104757127</v>
      </c>
      <c r="G135" s="178"/>
      <c r="O135" s="150"/>
      <c r="P135" s="150"/>
      <c r="Q135" s="150"/>
      <c r="R135" s="150"/>
      <c r="S135" s="150"/>
      <c r="T135" s="150"/>
      <c r="U135" s="150"/>
      <c r="V135" s="150"/>
      <c r="W135" s="150"/>
    </row>
    <row r="136" spans="1:23">
      <c r="A136" s="234" t="s">
        <v>177</v>
      </c>
      <c r="B136" s="207"/>
      <c r="C136" s="207"/>
      <c r="D136" s="244">
        <f>SUM(D135-F135)</f>
        <v>2567.9400852328763</v>
      </c>
      <c r="E136" s="242"/>
      <c r="F136" s="228"/>
      <c r="G136" s="165"/>
      <c r="O136" s="150"/>
      <c r="P136" s="150"/>
      <c r="Q136" s="150"/>
      <c r="R136" s="150"/>
      <c r="S136" s="150"/>
      <c r="T136" s="150"/>
      <c r="U136" s="150"/>
      <c r="V136" s="150"/>
      <c r="W136" s="150"/>
    </row>
    <row r="137" spans="1:23">
      <c r="A137" s="204" t="s">
        <v>178</v>
      </c>
      <c r="B137" s="203"/>
      <c r="C137" s="203"/>
      <c r="D137" s="245">
        <f>SUM(D136/F135)</f>
        <v>0.14537308342113248</v>
      </c>
      <c r="E137" s="243"/>
      <c r="F137" s="239"/>
      <c r="G137" s="190"/>
      <c r="O137" s="150"/>
      <c r="P137" s="150"/>
      <c r="Q137" s="150"/>
      <c r="R137" s="150"/>
      <c r="S137" s="150"/>
      <c r="T137" s="150"/>
      <c r="U137" s="150"/>
      <c r="V137" s="150"/>
      <c r="W137" s="150"/>
    </row>
    <row r="141" spans="1:23" ht="18.75">
      <c r="A141" s="259" t="s">
        <v>255</v>
      </c>
      <c r="O141" s="150"/>
      <c r="P141" s="150"/>
      <c r="Q141" s="150"/>
      <c r="R141" s="150"/>
      <c r="S141" s="150"/>
      <c r="T141" s="150"/>
      <c r="U141" s="150"/>
      <c r="V141" s="150"/>
      <c r="W141" s="150"/>
    </row>
    <row r="143" spans="1:23" ht="18.75">
      <c r="A143" s="289"/>
      <c r="B143" s="289"/>
      <c r="C143" s="289"/>
      <c r="E143" s="289"/>
      <c r="F143" s="170"/>
      <c r="G143" s="170"/>
      <c r="O143" s="150"/>
      <c r="P143" s="150"/>
      <c r="Q143" s="150"/>
      <c r="R143" s="150"/>
      <c r="S143" s="150"/>
      <c r="T143" s="150"/>
      <c r="U143" s="150"/>
      <c r="V143" s="150"/>
      <c r="W143" s="150"/>
    </row>
    <row r="144" spans="1:23" ht="18.75">
      <c r="A144" s="290" t="s">
        <v>236</v>
      </c>
      <c r="B144" s="290"/>
      <c r="C144" s="290"/>
      <c r="E144" s="290" t="s">
        <v>253</v>
      </c>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90"/>
      <c r="B146" s="290"/>
      <c r="C146" s="290"/>
      <c r="E146" s="290"/>
      <c r="O146" s="150"/>
      <c r="P146" s="150"/>
      <c r="Q146" s="150"/>
      <c r="R146" s="150"/>
      <c r="S146" s="150"/>
      <c r="T146" s="150"/>
      <c r="U146" s="150"/>
      <c r="V146" s="150"/>
      <c r="W146" s="150"/>
    </row>
    <row r="147" spans="1:23" ht="18.75">
      <c r="A147" s="289"/>
      <c r="B147" s="289"/>
      <c r="C147" s="289"/>
      <c r="E147" s="289"/>
      <c r="F147" s="170"/>
      <c r="G147" s="170"/>
      <c r="O147" s="150"/>
      <c r="P147" s="150"/>
      <c r="Q147" s="150"/>
      <c r="R147" s="150"/>
      <c r="S147" s="150"/>
      <c r="T147" s="150"/>
      <c r="U147" s="150"/>
      <c r="V147" s="150"/>
      <c r="W147" s="150"/>
    </row>
    <row r="148" spans="1:23" ht="18.75">
      <c r="A148" s="290" t="s">
        <v>237</v>
      </c>
      <c r="B148" s="290"/>
      <c r="C148" s="290"/>
      <c r="E148" s="290" t="s">
        <v>254</v>
      </c>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90"/>
      <c r="B150" s="290"/>
      <c r="C150" s="290"/>
      <c r="D150" s="290"/>
      <c r="E150" s="290"/>
      <c r="O150" s="150"/>
      <c r="P150" s="150"/>
      <c r="Q150" s="150"/>
      <c r="R150" s="150"/>
      <c r="S150" s="150"/>
      <c r="T150" s="150"/>
      <c r="U150" s="150"/>
      <c r="V150" s="150"/>
      <c r="W150" s="150"/>
    </row>
    <row r="151" spans="1:23" ht="18.75">
      <c r="A151" s="289"/>
      <c r="B151" s="289"/>
      <c r="C151" s="289"/>
      <c r="D151" s="290"/>
      <c r="E151" s="290"/>
      <c r="O151" s="150"/>
      <c r="P151" s="150"/>
      <c r="Q151" s="150"/>
      <c r="R151" s="150"/>
      <c r="S151" s="150"/>
      <c r="T151" s="150"/>
      <c r="U151" s="150"/>
      <c r="V151" s="150"/>
      <c r="W151" s="150"/>
    </row>
    <row r="152" spans="1:23" ht="18.75">
      <c r="A152" s="290" t="s">
        <v>238</v>
      </c>
      <c r="B152" s="290"/>
      <c r="C152" s="290"/>
      <c r="D152" s="290"/>
      <c r="E152" s="290"/>
      <c r="O152" s="150"/>
      <c r="P152" s="150"/>
      <c r="Q152" s="150"/>
      <c r="R152" s="150"/>
      <c r="S152" s="150"/>
      <c r="T152" s="150"/>
      <c r="U152" s="150"/>
      <c r="V152" s="150"/>
      <c r="W152" s="150"/>
    </row>
  </sheetData>
  <mergeCells count="36">
    <mergeCell ref="D113:E113"/>
    <mergeCell ref="F113:G113"/>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0" zoomScale="60" zoomScaleNormal="100" workbookViewId="0">
      <selection activeCell="G132" sqref="G132"/>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219</v>
      </c>
      <c r="B9" s="298"/>
      <c r="D9" s="162">
        <v>379492</v>
      </c>
      <c r="E9" s="162">
        <v>789537</v>
      </c>
      <c r="F9" s="163">
        <f>D9+E9</f>
        <v>1169029</v>
      </c>
      <c r="O9" s="151"/>
      <c r="P9" s="151"/>
    </row>
    <row r="10" spans="1:16" s="150" customFormat="1">
      <c r="A10" s="299" t="s">
        <v>230</v>
      </c>
      <c r="B10" s="300"/>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230</v>
      </c>
      <c r="E24" s="306"/>
      <c r="F24" s="305" t="s">
        <v>219</v>
      </c>
      <c r="G24" s="306"/>
      <c r="H24" s="305" t="s">
        <v>233</v>
      </c>
      <c r="I24" s="307"/>
      <c r="J24" s="308" t="s">
        <v>230</v>
      </c>
      <c r="K24" s="306"/>
      <c r="L24" s="305" t="s">
        <v>219</v>
      </c>
      <c r="M24" s="306"/>
      <c r="N24" s="305" t="s">
        <v>233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230</v>
      </c>
      <c r="E35" s="306"/>
      <c r="F35" s="305" t="s">
        <v>219</v>
      </c>
      <c r="G35" s="306"/>
      <c r="H35" s="188"/>
      <c r="I35" s="152"/>
      <c r="J35" s="308" t="s">
        <v>230</v>
      </c>
      <c r="K35" s="306"/>
      <c r="L35" s="305" t="s">
        <v>219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3" t="s">
        <v>132</v>
      </c>
      <c r="B57" s="314"/>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3" t="s">
        <v>43</v>
      </c>
      <c r="B67" s="314"/>
      <c r="C67" s="314"/>
      <c r="D67" s="166">
        <f>SUM(-(K68)*5/100)</f>
        <v>-3.0128108013113802E-2</v>
      </c>
      <c r="E67" s="166">
        <f>SUM(D56+D67)</f>
        <v>0.54275813057185429</v>
      </c>
      <c r="F67" s="173">
        <f>SUM('FY22 Final'!E67)</f>
        <v>0.52579619653140874</v>
      </c>
      <c r="J67" s="258" t="s">
        <v>186</v>
      </c>
      <c r="K67" s="302" t="s">
        <v>187</v>
      </c>
      <c r="L67" s="304"/>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316" t="s">
        <v>230</v>
      </c>
      <c r="D73" s="317"/>
      <c r="E73" s="316" t="s">
        <v>219</v>
      </c>
      <c r="F73" s="317"/>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230</v>
      </c>
      <c r="E84" s="306"/>
      <c r="F84" s="305" t="s">
        <v>219</v>
      </c>
      <c r="G84" s="306"/>
      <c r="H84" s="305" t="s">
        <v>233</v>
      </c>
      <c r="I84" s="307"/>
      <c r="J84" s="308" t="s">
        <v>230</v>
      </c>
      <c r="K84" s="306"/>
      <c r="L84" s="305" t="s">
        <v>219</v>
      </c>
      <c r="M84" s="306"/>
      <c r="N84" s="312" t="s">
        <v>233</v>
      </c>
      <c r="O84" s="315"/>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316" t="s">
        <v>230</v>
      </c>
      <c r="E112" s="318"/>
      <c r="F112" s="319" t="s">
        <v>219</v>
      </c>
      <c r="G112" s="317"/>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104" zoomScaleNormal="100" workbookViewId="0">
      <selection activeCell="G115" sqref="G115"/>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199</v>
      </c>
      <c r="B9" s="298"/>
      <c r="D9" s="162">
        <v>358965</v>
      </c>
      <c r="E9" s="162">
        <v>606387</v>
      </c>
      <c r="F9" s="163">
        <f>D9+E9</f>
        <v>965352</v>
      </c>
      <c r="O9" s="151"/>
      <c r="P9" s="151"/>
    </row>
    <row r="10" spans="1:16" s="150" customFormat="1">
      <c r="A10" s="299" t="s">
        <v>219</v>
      </c>
      <c r="B10" s="300"/>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219</v>
      </c>
      <c r="E24" s="306"/>
      <c r="F24" s="305" t="s">
        <v>199</v>
      </c>
      <c r="G24" s="306"/>
      <c r="H24" s="305" t="s">
        <v>222</v>
      </c>
      <c r="I24" s="307"/>
      <c r="J24" s="308" t="s">
        <v>219</v>
      </c>
      <c r="K24" s="306"/>
      <c r="L24" s="305" t="s">
        <v>199</v>
      </c>
      <c r="M24" s="306"/>
      <c r="N24" s="305" t="s">
        <v>222</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219</v>
      </c>
      <c r="E35" s="306"/>
      <c r="F35" s="305" t="s">
        <v>199</v>
      </c>
      <c r="G35" s="306"/>
      <c r="H35" s="188"/>
      <c r="I35" s="152"/>
      <c r="J35" s="308" t="s">
        <v>219</v>
      </c>
      <c r="K35" s="306"/>
      <c r="L35" s="305" t="s">
        <v>199</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3" t="s">
        <v>132</v>
      </c>
      <c r="B57" s="314"/>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3" t="s">
        <v>43</v>
      </c>
      <c r="B67" s="314"/>
      <c r="C67" s="314"/>
      <c r="D67" s="166">
        <f>SUM(-(K68)*5/100)</f>
        <v>-2.9287543894563176E-2</v>
      </c>
      <c r="E67" s="166">
        <f>SUM(D56+D67)</f>
        <v>0.52579619653140874</v>
      </c>
      <c r="F67" s="173">
        <f>SUM('FY21 Final'!E67)</f>
        <v>0.50933526181149502</v>
      </c>
      <c r="J67" s="258" t="s">
        <v>186</v>
      </c>
      <c r="K67" s="302" t="s">
        <v>187</v>
      </c>
      <c r="L67" s="304"/>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316" t="s">
        <v>219</v>
      </c>
      <c r="D73" s="317"/>
      <c r="E73" s="316" t="s">
        <v>199</v>
      </c>
      <c r="F73" s="317"/>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219</v>
      </c>
      <c r="E84" s="306"/>
      <c r="F84" s="305" t="s">
        <v>199</v>
      </c>
      <c r="G84" s="306"/>
      <c r="H84" s="305" t="s">
        <v>222</v>
      </c>
      <c r="I84" s="307"/>
      <c r="J84" s="308" t="s">
        <v>219</v>
      </c>
      <c r="K84" s="306"/>
      <c r="L84" s="305" t="s">
        <v>199</v>
      </c>
      <c r="M84" s="306"/>
      <c r="N84" s="312" t="s">
        <v>222</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316" t="s">
        <v>219</v>
      </c>
      <c r="E112" s="318"/>
      <c r="F112" s="319" t="s">
        <v>199</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B69" zoomScaleNormal="100" workbookViewId="0">
      <selection activeCell="F31" sqref="F31"/>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135</v>
      </c>
      <c r="B9" s="298"/>
      <c r="D9" s="162">
        <v>357985</v>
      </c>
      <c r="E9" s="162">
        <v>600152</v>
      </c>
      <c r="F9" s="163">
        <f>D9+E9</f>
        <v>958137</v>
      </c>
      <c r="O9" s="151"/>
      <c r="P9" s="151"/>
    </row>
    <row r="10" spans="1:16" s="150" customFormat="1">
      <c r="A10" s="299" t="s">
        <v>199</v>
      </c>
      <c r="B10" s="300"/>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199</v>
      </c>
      <c r="E24" s="306"/>
      <c r="F24" s="305" t="s">
        <v>135</v>
      </c>
      <c r="G24" s="306"/>
      <c r="H24" s="305" t="s">
        <v>204</v>
      </c>
      <c r="I24" s="307"/>
      <c r="J24" s="308" t="s">
        <v>199</v>
      </c>
      <c r="K24" s="306"/>
      <c r="L24" s="305" t="s">
        <v>135</v>
      </c>
      <c r="M24" s="306"/>
      <c r="N24" s="305" t="s">
        <v>204</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199</v>
      </c>
      <c r="E35" s="306"/>
      <c r="F35" s="305" t="s">
        <v>135</v>
      </c>
      <c r="G35" s="306"/>
      <c r="H35" s="188"/>
      <c r="I35" s="152"/>
      <c r="J35" s="308" t="s">
        <v>199</v>
      </c>
      <c r="K35" s="306"/>
      <c r="L35" s="305" t="s">
        <v>203</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3" t="s">
        <v>132</v>
      </c>
      <c r="B57" s="314"/>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3" t="s">
        <v>43</v>
      </c>
      <c r="B67" s="314"/>
      <c r="C67" s="314"/>
      <c r="D67" s="166">
        <f>SUM(-(K68)*5/100)</f>
        <v>-2.8422069988389972E-2</v>
      </c>
      <c r="E67" s="166">
        <f>SUM(D56+D67)</f>
        <v>0.50933526181149502</v>
      </c>
      <c r="F67" s="173">
        <f>SUM('FY20 Final'!E67)</f>
        <v>0.53504885352558651</v>
      </c>
      <c r="J67" s="258" t="s">
        <v>186</v>
      </c>
      <c r="K67" s="302" t="s">
        <v>187</v>
      </c>
      <c r="L67" s="304"/>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316" t="s">
        <v>199</v>
      </c>
      <c r="D73" s="317"/>
      <c r="E73" s="316" t="s">
        <v>135</v>
      </c>
      <c r="F73" s="317"/>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199</v>
      </c>
      <c r="E84" s="306"/>
      <c r="F84" s="305" t="s">
        <v>135</v>
      </c>
      <c r="G84" s="306"/>
      <c r="H84" s="305" t="s">
        <v>204</v>
      </c>
      <c r="I84" s="307"/>
      <c r="J84" s="308" t="s">
        <v>199</v>
      </c>
      <c r="K84" s="306"/>
      <c r="L84" s="305" t="s">
        <v>135</v>
      </c>
      <c r="M84" s="306"/>
      <c r="N84" s="312" t="s">
        <v>204</v>
      </c>
      <c r="O84" s="315"/>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316" t="s">
        <v>199</v>
      </c>
      <c r="E112" s="318"/>
      <c r="F112" s="319" t="s">
        <v>135</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61" zoomScale="60" zoomScaleNormal="100" workbookViewId="0">
      <selection activeCell="E6" sqref="E6"/>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297" t="s">
        <v>134</v>
      </c>
      <c r="B9" s="298"/>
      <c r="D9" s="162">
        <v>345137</v>
      </c>
      <c r="E9" s="162">
        <v>562000</v>
      </c>
      <c r="F9" s="163">
        <f>D9+E9</f>
        <v>907137</v>
      </c>
      <c r="O9" s="151"/>
      <c r="P9" s="151"/>
    </row>
    <row r="10" spans="1:16" s="150" customFormat="1">
      <c r="A10" s="299" t="s">
        <v>135</v>
      </c>
      <c r="B10" s="300"/>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01" t="s">
        <v>2</v>
      </c>
      <c r="E23" s="302"/>
      <c r="F23" s="302"/>
      <c r="G23" s="302"/>
      <c r="H23" s="302"/>
      <c r="I23" s="302"/>
      <c r="J23" s="303" t="s">
        <v>26</v>
      </c>
      <c r="K23" s="302"/>
      <c r="L23" s="302"/>
      <c r="M23" s="302"/>
      <c r="N23" s="302"/>
      <c r="O23" s="304"/>
    </row>
    <row r="24" spans="1:16" s="150" customFormat="1">
      <c r="A24" s="152"/>
      <c r="D24" s="305" t="s">
        <v>135</v>
      </c>
      <c r="E24" s="306"/>
      <c r="F24" s="305" t="s">
        <v>152</v>
      </c>
      <c r="G24" s="306"/>
      <c r="H24" s="305" t="s">
        <v>153</v>
      </c>
      <c r="I24" s="307"/>
      <c r="J24" s="308" t="s">
        <v>135</v>
      </c>
      <c r="K24" s="306"/>
      <c r="L24" s="305" t="s">
        <v>152</v>
      </c>
      <c r="M24" s="306"/>
      <c r="N24" s="305" t="s">
        <v>153</v>
      </c>
      <c r="O24" s="306"/>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01" t="s">
        <v>2</v>
      </c>
      <c r="E34" s="302"/>
      <c r="F34" s="302"/>
      <c r="G34" s="302"/>
      <c r="H34" s="302"/>
      <c r="I34" s="302"/>
      <c r="J34" s="303" t="s">
        <v>26</v>
      </c>
      <c r="K34" s="302"/>
      <c r="L34" s="302"/>
      <c r="M34" s="302"/>
      <c r="N34" s="302"/>
      <c r="O34" s="304"/>
    </row>
    <row r="35" spans="1:16" s="150" customFormat="1">
      <c r="D35" s="305" t="s">
        <v>135</v>
      </c>
      <c r="E35" s="306"/>
      <c r="F35" s="305" t="s">
        <v>152</v>
      </c>
      <c r="G35" s="306"/>
      <c r="H35" s="188"/>
      <c r="I35" s="152"/>
      <c r="J35" s="308" t="s">
        <v>135</v>
      </c>
      <c r="K35" s="306"/>
      <c r="L35" s="305" t="s">
        <v>152</v>
      </c>
      <c r="M35" s="306"/>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01" t="s">
        <v>2</v>
      </c>
      <c r="D53" s="302"/>
      <c r="E53" s="302"/>
      <c r="F53" s="304"/>
      <c r="G53" s="301" t="s">
        <v>26</v>
      </c>
      <c r="H53" s="302"/>
      <c r="I53" s="302"/>
      <c r="J53" s="304"/>
    </row>
    <row r="54" spans="1:12" s="150" customFormat="1" ht="60">
      <c r="A54" s="164"/>
      <c r="B54" s="154"/>
      <c r="C54" s="311"/>
      <c r="D54" s="312"/>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3" t="s">
        <v>132</v>
      </c>
      <c r="B57" s="314"/>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5" t="s">
        <v>2</v>
      </c>
      <c r="D65" s="307"/>
      <c r="E65" s="307"/>
      <c r="F65" s="306"/>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3" t="s">
        <v>43</v>
      </c>
      <c r="B67" s="314"/>
      <c r="C67" s="314"/>
      <c r="D67" s="166">
        <f>SUM(-(K68)*5/100)</f>
        <v>-3.0102956517231768E-2</v>
      </c>
      <c r="E67" s="166">
        <f>SUM(D56+D67)</f>
        <v>0.53504885352558651</v>
      </c>
      <c r="F67" s="173">
        <f>SUM('FY19 Final'!C11)</f>
        <v>0.57700966350845162</v>
      </c>
      <c r="J67" s="258" t="s">
        <v>186</v>
      </c>
      <c r="K67" s="302" t="s">
        <v>187</v>
      </c>
      <c r="L67" s="304"/>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316" t="s">
        <v>135</v>
      </c>
      <c r="D73" s="317"/>
      <c r="E73" s="316" t="s">
        <v>134</v>
      </c>
      <c r="F73" s="317"/>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01" t="s">
        <v>2</v>
      </c>
      <c r="E83" s="302"/>
      <c r="F83" s="302"/>
      <c r="G83" s="302"/>
      <c r="H83" s="302"/>
      <c r="I83" s="302"/>
      <c r="J83" s="303" t="s">
        <v>26</v>
      </c>
      <c r="K83" s="302"/>
      <c r="L83" s="302"/>
      <c r="M83" s="302"/>
      <c r="N83" s="302"/>
      <c r="O83" s="304"/>
      <c r="P83" s="150"/>
    </row>
    <row r="84" spans="1:16">
      <c r="C84" s="155"/>
      <c r="D84" s="305" t="s">
        <v>135</v>
      </c>
      <c r="E84" s="306"/>
      <c r="F84" s="305" t="s">
        <v>152</v>
      </c>
      <c r="G84" s="306"/>
      <c r="H84" s="305" t="s">
        <v>153</v>
      </c>
      <c r="I84" s="307"/>
      <c r="J84" s="308" t="s">
        <v>135</v>
      </c>
      <c r="K84" s="306"/>
      <c r="L84" s="305" t="s">
        <v>152</v>
      </c>
      <c r="M84" s="306"/>
      <c r="N84" s="312" t="s">
        <v>153</v>
      </c>
      <c r="O84" s="315"/>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316" t="s">
        <v>135</v>
      </c>
      <c r="E112" s="318"/>
      <c r="F112" s="319" t="s">
        <v>134</v>
      </c>
      <c r="G112" s="317"/>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FY24 DRAFT</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Town Manager</cp:lastModifiedBy>
  <cp:revision>15</cp:revision>
  <cp:lastPrinted>2022-04-15T14:36:43Z</cp:lastPrinted>
  <dcterms:created xsi:type="dcterms:W3CDTF">2016-04-29T13:54:33Z</dcterms:created>
  <dcterms:modified xsi:type="dcterms:W3CDTF">2023-05-10T22:15:52Z</dcterms:modified>
</cp:coreProperties>
</file>