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TownManager\Documents\Selectboard\Agenda &amp; Packet\2023 Agendas and Packets\d February 21\WS\Packet\Rates\"/>
    </mc:Choice>
  </mc:AlternateContent>
  <xr:revisionPtr revIDLastSave="0" documentId="13_ncr:1_{17E77AA6-D9DD-4EAF-B691-AD1020A04658}" xr6:coauthVersionLast="47" xr6:coauthVersionMax="47" xr10:uidLastSave="{00000000-0000-0000-0000-000000000000}"/>
  <bookViews>
    <workbookView xWindow="-120" yWindow="-120" windowWidth="24240" windowHeight="13140" xr2:uid="{00000000-000D-0000-FFFF-FFFF00000000}"/>
  </bookViews>
  <sheets>
    <sheet name="FY23 DRAFT" sheetId="13" r:id="rId1"/>
    <sheet name="FY22 Final" sheetId="12" r:id="rId2"/>
    <sheet name="FY21 Final" sheetId="9" r:id="rId3"/>
    <sheet name="FY20 Final" sheetId="8" r:id="rId4"/>
    <sheet name="FY19 Final" sheetId="7"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5" i="13" l="1"/>
  <c r="G105" i="13"/>
  <c r="K45" i="13"/>
  <c r="E45" i="13"/>
  <c r="F134" i="13"/>
  <c r="F135" i="13"/>
  <c r="G134" i="13"/>
  <c r="G133" i="13"/>
  <c r="G132" i="13"/>
  <c r="F133" i="13"/>
  <c r="F132" i="13"/>
  <c r="G126" i="13"/>
  <c r="G125" i="13"/>
  <c r="G124" i="13"/>
  <c r="F127" i="13"/>
  <c r="F126" i="13"/>
  <c r="F125" i="13"/>
  <c r="F124" i="13"/>
  <c r="G118" i="13"/>
  <c r="G117" i="13"/>
  <c r="G116" i="13"/>
  <c r="F119" i="13"/>
  <c r="F118" i="13"/>
  <c r="F117" i="13"/>
  <c r="F116"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E31" i="13" l="1"/>
  <c r="M31" i="13"/>
  <c r="M32" i="13" s="1"/>
  <c r="L31" i="13"/>
  <c r="M28" i="13"/>
  <c r="M27" i="13"/>
  <c r="L27" i="13"/>
  <c r="G31" i="13"/>
  <c r="F31" i="13"/>
  <c r="F9" i="13"/>
  <c r="M97" i="13" l="1"/>
  <c r="M93" i="13"/>
  <c r="M89" i="13"/>
  <c r="J69" i="13"/>
  <c r="F70" i="13"/>
  <c r="G61" i="13"/>
  <c r="H57" i="13" s="1"/>
  <c r="C61" i="13"/>
  <c r="E61" i="13" s="1"/>
  <c r="I58" i="13"/>
  <c r="E58" i="13"/>
  <c r="I57" i="13"/>
  <c r="E57" i="13"/>
  <c r="I56" i="13"/>
  <c r="G45" i="13"/>
  <c r="G32" i="13"/>
  <c r="G47" i="13" s="1"/>
  <c r="G48" i="13" s="1"/>
  <c r="E75" i="13" s="1"/>
  <c r="N31" i="13"/>
  <c r="O31" i="13" s="1"/>
  <c r="K31" i="13"/>
  <c r="K32" i="13" s="1"/>
  <c r="K47" i="13" s="1"/>
  <c r="K48" i="13" s="1"/>
  <c r="H31" i="13"/>
  <c r="I31" i="13" s="1"/>
  <c r="E32" i="13"/>
  <c r="E47" i="13" s="1"/>
  <c r="E48" i="13" s="1"/>
  <c r="N27" i="13"/>
  <c r="O27" i="13" s="1"/>
  <c r="M29" i="13"/>
  <c r="M47" i="13" s="1"/>
  <c r="K27" i="13"/>
  <c r="K28" i="13" s="1"/>
  <c r="E11" i="13"/>
  <c r="E12" i="13" s="1"/>
  <c r="D11" i="13"/>
  <c r="D12" i="13" s="1"/>
  <c r="F10" i="13"/>
  <c r="E45" i="12"/>
  <c r="C75" i="13" l="1"/>
  <c r="D75" i="13"/>
  <c r="H56" i="13"/>
  <c r="H58" i="13"/>
  <c r="I61" i="13"/>
  <c r="D57" i="13"/>
  <c r="J70" i="13"/>
  <c r="K68" i="13" s="1"/>
  <c r="D67" i="13" s="1"/>
  <c r="M48" i="13"/>
  <c r="F75" i="13" s="1"/>
  <c r="F11" i="13"/>
  <c r="F12" i="13" s="1"/>
  <c r="D56" i="13"/>
  <c r="D58" i="13"/>
  <c r="E69" i="13" s="1"/>
  <c r="H61" i="13"/>
  <c r="K45" i="12"/>
  <c r="D77" i="13" l="1"/>
  <c r="J87" i="13" s="1"/>
  <c r="K69" i="13"/>
  <c r="D79" i="13"/>
  <c r="J96" i="13" s="1"/>
  <c r="D78" i="13"/>
  <c r="J92" i="13" s="1"/>
  <c r="D68" i="13"/>
  <c r="E68" i="13" s="1"/>
  <c r="C78" i="13" s="1"/>
  <c r="D91" i="13" s="1"/>
  <c r="C79" i="13"/>
  <c r="D95" i="13" s="1"/>
  <c r="E67" i="13"/>
  <c r="C77" i="13" s="1"/>
  <c r="D61" i="13"/>
  <c r="J68" i="12"/>
  <c r="J88" i="13" l="1"/>
  <c r="N88" i="13" s="1"/>
  <c r="O88" i="13" s="1"/>
  <c r="D88" i="13"/>
  <c r="D116" i="13" s="1"/>
  <c r="D87" i="13"/>
  <c r="J91" i="13"/>
  <c r="K91" i="13" s="1"/>
  <c r="J95" i="13"/>
  <c r="E133" i="13" s="1"/>
  <c r="D96" i="13"/>
  <c r="E96" i="13" s="1"/>
  <c r="D92" i="13"/>
  <c r="H92" i="13" s="1"/>
  <c r="I92" i="13" s="1"/>
  <c r="H95" i="13"/>
  <c r="I95" i="13" s="1"/>
  <c r="E95" i="13"/>
  <c r="D133" i="13"/>
  <c r="E117" i="13"/>
  <c r="N87" i="13"/>
  <c r="O87" i="13" s="1"/>
  <c r="K87" i="13"/>
  <c r="N92" i="13"/>
  <c r="O92" i="13" s="1"/>
  <c r="K92" i="13"/>
  <c r="E124" i="13"/>
  <c r="N96" i="13"/>
  <c r="O96" i="13" s="1"/>
  <c r="K96" i="13"/>
  <c r="E132" i="13"/>
  <c r="E70" i="13"/>
  <c r="E91" i="13"/>
  <c r="D125" i="13"/>
  <c r="H91" i="13"/>
  <c r="I91" i="13" s="1"/>
  <c r="F2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E116" i="13" l="1"/>
  <c r="E118" i="13" s="1"/>
  <c r="K88" i="13"/>
  <c r="K89" i="13" s="1"/>
  <c r="F21" i="13"/>
  <c r="F19" i="13"/>
  <c r="K95" i="13"/>
  <c r="H103" i="13" s="1"/>
  <c r="N95" i="13"/>
  <c r="O95" i="13" s="1"/>
  <c r="E125" i="13"/>
  <c r="E126" i="13" s="1"/>
  <c r="N91" i="13"/>
  <c r="O91" i="13" s="1"/>
  <c r="K93" i="13"/>
  <c r="D132" i="13"/>
  <c r="D134" i="13" s="1"/>
  <c r="H96" i="13"/>
  <c r="I96" i="13" s="1"/>
  <c r="E92" i="13"/>
  <c r="E93" i="13" s="1"/>
  <c r="D124" i="13"/>
  <c r="D126" i="13" s="1"/>
  <c r="E134" i="13"/>
  <c r="E97" i="13"/>
  <c r="E47" i="12"/>
  <c r="E48" i="12" s="1"/>
  <c r="C75" i="12" s="1"/>
  <c r="K48" i="12"/>
  <c r="D75" i="12" s="1"/>
  <c r="D79" i="12" s="1"/>
  <c r="J96" i="12" s="1"/>
  <c r="K68" i="12"/>
  <c r="D67" i="12" s="1"/>
  <c r="D58" i="12"/>
  <c r="E69" i="12" s="1"/>
  <c r="D57" i="12"/>
  <c r="E68" i="12" s="1"/>
  <c r="D56" i="12"/>
  <c r="F11" i="12"/>
  <c r="F12" i="12" s="1"/>
  <c r="H61" i="12"/>
  <c r="I61" i="12"/>
  <c r="H56" i="12"/>
  <c r="H57" i="12"/>
  <c r="H104" i="13" l="1"/>
  <c r="H106" i="13" s="1"/>
  <c r="H107" i="13" s="1"/>
  <c r="K97" i="13"/>
  <c r="D135" i="13"/>
  <c r="D136" i="13" s="1"/>
  <c r="D137" i="13" s="1"/>
  <c r="D127" i="13"/>
  <c r="D128" i="13" s="1"/>
  <c r="D129" i="13" s="1"/>
  <c r="H88" i="13"/>
  <c r="I88" i="13" s="1"/>
  <c r="E88" i="13"/>
  <c r="G104" i="13" s="1"/>
  <c r="H87" i="13"/>
  <c r="I87" i="13" s="1"/>
  <c r="D117" i="13"/>
  <c r="E87" i="13"/>
  <c r="G103" i="13" s="1"/>
  <c r="H109"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G106" i="13" l="1"/>
  <c r="G109" i="13"/>
  <c r="D118" i="13"/>
  <c r="D119" i="13" s="1"/>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D120" i="13" l="1"/>
  <c r="D121" i="13" s="1"/>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G105" i="12" l="1"/>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J87"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D15" i="7"/>
  <c r="F115" i="8" s="1"/>
  <c r="D12" i="7"/>
  <c r="F87" i="8" s="1"/>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<sst xmlns="http://schemas.openxmlformats.org/spreadsheetml/2006/main" count="920" uniqueCount="244">
  <si>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</si>
  <si>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</si>
  <si>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</si>
  <si>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</si>
  <si>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</si>
  <si>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</si>
  <si>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</si>
  <si>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</si>
  <si>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</si>
  <si>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</si>
  <si>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</si>
  <si>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</si>
  <si>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</si>
  <si>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</si>
  <si>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</si>
  <si>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</si>
  <si>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</si>
  <si>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</si>
  <si>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</si>
  <si>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</si>
  <si>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</si>
  <si>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</si>
  <si>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</si>
  <si>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</si>
  <si>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</si>
  <si>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</si>
  <si>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</si>
  <si>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</si>
  <si>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</si>
  <si>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</si>
  <si>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</si>
  <si>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</si>
  <si>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</si>
  <si>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</si>
  <si>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</si>
  <si>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</si>
  <si>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</si>
  <si>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</si>
  <si>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</si>
  <si>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</si>
  <si>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</si>
  <si>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</si>
  <si>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</si>
  <si>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</si>
  <si>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</si>
  <si>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</si>
  <si>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</si>
  <si>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</si>
  <si>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</si>
  <si>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</si>
  <si>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</si>
  <si>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</si>
  <si>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</si>
  <si>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</si>
  <si>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</si>
  <si>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</si>
  <si>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</si>
  <si>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</si>
  <si>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</si>
  <si>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</si>
  <si>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</si>
  <si>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</si>
  <si>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</si>
  <si>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</si>
  <si>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</si>
  <si>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</si>
  <si>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</si>
  <si>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</si>
  <si>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</si>
  <si>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</si>
  <si>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</si>
  <si>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</si>
  <si>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</si>
  <si>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</si>
  <si>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</si>
  <si>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</si>
  <si>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</si>
  <si>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</si>
  <si>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</si>
  <si>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</si>
  <si>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</si>
  <si>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</si>
  <si>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</si>
  <si>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</si>
  <si>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</si>
  <si>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</si>
  <si>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</si>
  <si>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</si>
  <si>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</si>
  <si>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</si>
  <si>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</si>
  <si>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</si>
  <si>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</si>
  <si>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</si>
  <si>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</si>
  <si>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</si>
  <si>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</si>
  <si>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</si>
  <si>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</si>
  <si>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</si>
  <si>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</si>
  <si>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</si>
  <si>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</si>
  <si>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</si>
  <si>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</si>
  <si>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</si>
  <si>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</si>
  <si>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</si>
  <si>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</si>
  <si>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</si>
  <si>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</si>
  <si>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</si>
  <si>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</si>
  <si>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</si>
  <si>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</si>
  <si>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</si>
  <si>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</si>
  <si>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</si>
  <si>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</si>
  <si>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</si>
  <si>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</si>
  <si>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</si>
  <si>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</si>
  <si>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</si>
  <si>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</si>
  <si>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</si>
  <si>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</si>
  <si>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</si>
  <si>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</si>
  <si>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</si>
  <si>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</si>
  <si>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</si>
  <si>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</si>
  <si>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</si>
  <si>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</si>
  <si>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</si>
  <si>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</si>
  <si>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</si>
  <si>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</si>
  <si>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</si>
  <si>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</si>
  <si>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</si>
  <si>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</si>
  <si>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</si>
  <si>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</si>
  <si>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</si>
  <si>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</si>
  <si>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</si>
  <si>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</si>
  <si>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</si>
  <si>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</si>
  <si>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</si>
  <si>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</si>
  <si>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</si>
  <si>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</si>
  <si>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</si>
  <si>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</si>
  <si>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</si>
  <si>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</si>
  <si>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</si>
  <si>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</si>
  <si>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</si>
  <si>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</si>
  <si>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</si>
  <si>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</si>
  <si>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</si>
  <si>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</si>
  <si>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</si>
  <si>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</si>
  <si>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</si>
  <si>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</si>
  <si>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</si>
  <si>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</si>
  <si>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</si>
  <si>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</si>
  <si>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</si>
  <si>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</si>
  <si>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</si>
  <si>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</si>
  <si>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</si>
  <si>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</si>
  <si>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</si>
  <si>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</si>
  <si>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</si>
  <si>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</si>
  <si>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</si>
  <si>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</si>
  <si>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</si>
  <si>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</si>
  <si>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</si>
  <si>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</si>
  <si>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</si>
  <si>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</si>
  <si>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</si>
  <si>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</si>
  <si>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</si>
  <si>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</si>
  <si>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</si>
  <si>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</si>
  <si>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</si>
  <si>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</si>
  <si>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</si>
  <si>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</si>
  <si>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</si>
  <si>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</si>
  <si>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</si>
  <si>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</si>
  <si>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</si>
  <si>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</si>
  <si>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</si>
  <si>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</si>
  <si>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</si>
  <si>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</si>
  <si>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</si>
  <si>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</si>
  <si>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</si>
  <si>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</si>
  <si>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</si>
  <si>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</si>
  <si>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</si>
  <si>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</si>
  <si>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</si>
  <si>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</si>
  <si>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</si>
  <si>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</si>
  <si>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</si>
  <si>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</si>
  <si>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</si>
  <si>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</si>
  <si>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</si>
  <si>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</si>
  <si>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</si>
  <si>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</si>
  <si>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</si>
  <si>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</si>
  <si>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</si>
  <si>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</si>
  <si>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</si>
  <si>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</si>
  <si>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</si>
  <si>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</si>
  <si>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</si>
  <si>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</si>
  <si>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FINAL Approved at 5-17-22 Annual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</si>
</sst>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19">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2"/>
  <sheetViews>
    <sheetView tabSelected="1" zoomScaleNormal="100" workbookViewId="0">
      <selection activeCell="G14" sqref="G14"/>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3" t="s">
        <v>219</v>
      </c>
      <c r="B9" s="314"/>
      <c r="D9" s="162">
        <v>379492</v>
      </c>
      <c r="E9" s="162">
        <v>789537</v>
      </c>
      <c r="F9" s="163">
        <f>D9+E9</f>
        <v>1169029</v>
      </c>
      <c r="O9" s="151"/>
      <c r="P9" s="151"/>
    </row>
    <row r="10" spans="1:16" s="150" customFormat="1">
      <c r="A10" s="315" t="s">
        <v>230</v>
      </c>
      <c r="B10" s="316"/>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08" t="s">
        <v>2</v>
      </c>
      <c r="E23" s="304"/>
      <c r="F23" s="304"/>
      <c r="G23" s="304"/>
      <c r="H23" s="304"/>
      <c r="I23" s="304"/>
      <c r="J23" s="309" t="s">
        <v>26</v>
      </c>
      <c r="K23" s="304"/>
      <c r="L23" s="304"/>
      <c r="M23" s="304"/>
      <c r="N23" s="304"/>
      <c r="O23" s="305"/>
    </row>
    <row r="24" spans="1:16" s="150" customFormat="1">
      <c r="A24" s="152"/>
      <c r="D24" s="298" t="s">
        <v>230</v>
      </c>
      <c r="E24" s="299"/>
      <c r="F24" s="298" t="s">
        <v>219</v>
      </c>
      <c r="G24" s="299"/>
      <c r="H24" s="298" t="s">
        <v>233</v>
      </c>
      <c r="I24" s="300"/>
      <c r="J24" s="301" t="s">
        <v>230</v>
      </c>
      <c r="K24" s="299"/>
      <c r="L24" s="298" t="s">
        <v>219</v>
      </c>
      <c r="M24" s="299"/>
      <c r="N24" s="298" t="s">
        <v>233</v>
      </c>
      <c r="O24" s="299"/>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08" t="s">
        <v>2</v>
      </c>
      <c r="E34" s="304"/>
      <c r="F34" s="304"/>
      <c r="G34" s="304"/>
      <c r="H34" s="304"/>
      <c r="I34" s="304"/>
      <c r="J34" s="309" t="s">
        <v>26</v>
      </c>
      <c r="K34" s="304"/>
      <c r="L34" s="304"/>
      <c r="M34" s="304"/>
      <c r="N34" s="304"/>
      <c r="O34" s="305"/>
    </row>
    <row r="35" spans="1:16" s="150" customFormat="1">
      <c r="D35" s="298" t="s">
        <v>230</v>
      </c>
      <c r="E35" s="299"/>
      <c r="F35" s="298" t="s">
        <v>219</v>
      </c>
      <c r="G35" s="299"/>
      <c r="H35" s="188"/>
      <c r="I35" s="152"/>
      <c r="J35" s="301" t="s">
        <v>230</v>
      </c>
      <c r="K35" s="299"/>
      <c r="L35" s="298" t="s">
        <v>219</v>
      </c>
      <c r="M35" s="299"/>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8" t="s">
        <v>2</v>
      </c>
      <c r="D53" s="304"/>
      <c r="E53" s="304"/>
      <c r="F53" s="305"/>
      <c r="G53" s="308" t="s">
        <v>26</v>
      </c>
      <c r="H53" s="304"/>
      <c r="I53" s="304"/>
      <c r="J53" s="305"/>
    </row>
    <row r="54" spans="1:12" s="150" customFormat="1" ht="60">
      <c r="A54" s="164"/>
      <c r="B54" s="154"/>
      <c r="C54" s="310"/>
      <c r="D54" s="30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1" t="s">
        <v>132</v>
      </c>
      <c r="B57" s="312"/>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298" t="s">
        <v>2</v>
      </c>
      <c r="D65" s="300"/>
      <c r="E65" s="300"/>
      <c r="F65" s="299"/>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1" t="s">
        <v>43</v>
      </c>
      <c r="B67" s="312"/>
      <c r="C67" s="312"/>
      <c r="D67" s="166">
        <f>SUM(-(K68)*5/100)</f>
        <v>-3.0128108013113802E-2</v>
      </c>
      <c r="E67" s="166">
        <f>SUM(D56+D67)</f>
        <v>0.54275813057185429</v>
      </c>
      <c r="F67" s="173">
        <f>SUM('FY22 Final'!E67)</f>
        <v>0.52579619653140874</v>
      </c>
      <c r="J67" s="258" t="s">
        <v>186</v>
      </c>
      <c r="K67" s="304" t="s">
        <v>187</v>
      </c>
      <c r="L67" s="305"/>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294" t="s">
        <v>230</v>
      </c>
      <c r="D73" s="297"/>
      <c r="E73" s="294" t="s">
        <v>219</v>
      </c>
      <c r="F73" s="297"/>
    </row>
    <row r="74" spans="1:12" s="150" customFormat="1">
      <c r="A74" s="164"/>
      <c r="B74" s="154"/>
      <c r="C74" s="153" t="s">
        <v>2</v>
      </c>
      <c r="D74" s="176" t="s">
        <v>26</v>
      </c>
      <c r="E74" s="153" t="s">
        <v>2</v>
      </c>
      <c r="F74" s="176" t="s">
        <v>26</v>
      </c>
    </row>
    <row r="75" spans="1:12" s="150" customFormat="1">
      <c r="A75" s="306" t="s">
        <v>191</v>
      </c>
      <c r="B75" s="307"/>
      <c r="C75" s="208">
        <f>SUM(E48)</f>
        <v>316355.56</v>
      </c>
      <c r="D75" s="209">
        <f>SUM(K48)</f>
        <v>353939.98</v>
      </c>
      <c r="E75" s="192">
        <f>SUM(G48)</f>
        <v>325286.76</v>
      </c>
      <c r="F75" s="178">
        <f>SUM(M48)</f>
        <v>349924.44</v>
      </c>
    </row>
    <row r="76" spans="1:12" s="150" customFormat="1">
      <c r="A76" s="306"/>
      <c r="B76" s="307"/>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08" t="s">
        <v>2</v>
      </c>
      <c r="E83" s="304"/>
      <c r="F83" s="304"/>
      <c r="G83" s="304"/>
      <c r="H83" s="304"/>
      <c r="I83" s="304"/>
      <c r="J83" s="309" t="s">
        <v>26</v>
      </c>
      <c r="K83" s="304"/>
      <c r="L83" s="304"/>
      <c r="M83" s="304"/>
      <c r="N83" s="304"/>
      <c r="O83" s="305"/>
      <c r="P83" s="150"/>
    </row>
    <row r="84" spans="1:16">
      <c r="C84" s="155"/>
      <c r="D84" s="298" t="s">
        <v>230</v>
      </c>
      <c r="E84" s="299"/>
      <c r="F84" s="298" t="s">
        <v>219</v>
      </c>
      <c r="G84" s="299"/>
      <c r="H84" s="298" t="s">
        <v>233</v>
      </c>
      <c r="I84" s="300"/>
      <c r="J84" s="301" t="s">
        <v>230</v>
      </c>
      <c r="K84" s="299"/>
      <c r="L84" s="298" t="s">
        <v>219</v>
      </c>
      <c r="M84" s="299"/>
      <c r="N84" s="302" t="s">
        <v>233</v>
      </c>
      <c r="O84" s="303"/>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2" spans="1:16" ht="23.25">
      <c r="A112" s="264" t="s">
        <v>174</v>
      </c>
    </row>
    <row r="113" spans="1:23">
      <c r="D113" s="294" t="s">
        <v>230</v>
      </c>
      <c r="E113" s="295"/>
      <c r="F113" s="296" t="s">
        <v>219</v>
      </c>
      <c r="G113" s="297"/>
    </row>
    <row r="114" spans="1:23">
      <c r="D114" s="250" t="s">
        <v>2</v>
      </c>
      <c r="E114" s="151" t="s">
        <v>26</v>
      </c>
      <c r="F114" s="237" t="s">
        <v>2</v>
      </c>
      <c r="G114" s="168" t="s">
        <v>26</v>
      </c>
      <c r="O114" s="150"/>
      <c r="P114" s="150"/>
      <c r="Q114" s="150"/>
      <c r="R114" s="150"/>
      <c r="S114" s="150"/>
      <c r="T114" s="150"/>
      <c r="U114" s="150"/>
      <c r="V114" s="150"/>
      <c r="W114" s="150"/>
    </row>
    <row r="115" spans="1:23">
      <c r="A115" s="153" t="s">
        <v>43</v>
      </c>
      <c r="B115" s="154"/>
      <c r="C115" s="154"/>
      <c r="D115" s="164"/>
      <c r="E115" s="240"/>
      <c r="F115" s="227"/>
      <c r="G115" s="161"/>
      <c r="O115" s="150"/>
      <c r="P115" s="150"/>
      <c r="Q115" s="150"/>
      <c r="R115" s="150"/>
      <c r="S115" s="150"/>
      <c r="T115" s="150"/>
      <c r="U115" s="150"/>
      <c r="V115" s="150"/>
      <c r="W115" s="150"/>
    </row>
    <row r="116" spans="1:23">
      <c r="A116" s="155" t="s">
        <v>147</v>
      </c>
      <c r="D116" s="191">
        <f>SUM((E56/F56)/1000)*D88</f>
        <v>284.81797781783996</v>
      </c>
      <c r="E116" s="241">
        <f>SUM((I56/J56)/1000)*J88</f>
        <v>414.07882861572079</v>
      </c>
      <c r="F116" s="238">
        <f>SUM('FY22 Final'!D115)</f>
        <v>281.04267331694274</v>
      </c>
      <c r="G116" s="178">
        <f>SUM('FY22 Final'!E115)</f>
        <v>396.01377414076933</v>
      </c>
      <c r="O116" s="150"/>
      <c r="P116" s="150"/>
      <c r="Q116" s="150"/>
      <c r="R116" s="150"/>
      <c r="S116" s="150"/>
      <c r="T116" s="150"/>
      <c r="U116" s="150"/>
      <c r="V116" s="150"/>
      <c r="W116" s="150"/>
    </row>
    <row r="117" spans="1:23">
      <c r="A117" s="155" t="s">
        <v>175</v>
      </c>
      <c r="D117" s="191">
        <f>SUM(D87)</f>
        <v>122.06484763621711</v>
      </c>
      <c r="E117" s="241">
        <f>SUM(J87)</f>
        <v>177.46235512102325</v>
      </c>
      <c r="F117" s="238">
        <f>SUM('FY22 Final'!D116)</f>
        <v>120.44685999297549</v>
      </c>
      <c r="G117" s="178">
        <f>SUM('FY22 Final'!E116)</f>
        <v>169.72018891747254</v>
      </c>
      <c r="O117" s="150"/>
      <c r="P117" s="150"/>
      <c r="Q117" s="150"/>
      <c r="R117" s="150"/>
      <c r="S117" s="150"/>
      <c r="T117" s="150"/>
      <c r="U117" s="150"/>
      <c r="V117" s="150"/>
      <c r="W117" s="150"/>
    </row>
    <row r="118" spans="1:23">
      <c r="A118" s="155" t="s">
        <v>142</v>
      </c>
      <c r="D118" s="191">
        <f>SUM(D116:D117)</f>
        <v>406.88282545405707</v>
      </c>
      <c r="E118" s="241">
        <f>SUM(E116:E117)</f>
        <v>591.54118373674407</v>
      </c>
      <c r="F118" s="238">
        <f>SUM('FY22 Final'!D117)</f>
        <v>401.48953330991822</v>
      </c>
      <c r="G118" s="178">
        <f>SUM('FY22 Final'!E117)</f>
        <v>565.7339630582419</v>
      </c>
      <c r="O118" s="150"/>
      <c r="P118" s="150"/>
      <c r="Q118" s="150"/>
      <c r="R118" s="150"/>
      <c r="S118" s="150"/>
      <c r="T118" s="150"/>
      <c r="U118" s="150"/>
      <c r="V118" s="150"/>
      <c r="W118" s="150"/>
    </row>
    <row r="119" spans="1:23">
      <c r="A119" s="234" t="s">
        <v>176</v>
      </c>
      <c r="B119" s="207"/>
      <c r="C119" s="207"/>
      <c r="D119" s="244">
        <f>SUM(D118:E118)</f>
        <v>998.42400919080114</v>
      </c>
      <c r="E119" s="242"/>
      <c r="F119" s="238">
        <f>SUM('FY22 Final'!D118)</f>
        <v>967.22349636816011</v>
      </c>
      <c r="G119" s="178"/>
      <c r="O119" s="150"/>
      <c r="P119" s="150"/>
      <c r="Q119" s="150"/>
      <c r="R119" s="150"/>
      <c r="S119" s="150"/>
      <c r="T119" s="150"/>
      <c r="U119" s="150"/>
      <c r="V119" s="150"/>
      <c r="W119" s="150"/>
    </row>
    <row r="120" spans="1:23">
      <c r="A120" s="234" t="s">
        <v>177</v>
      </c>
      <c r="B120" s="207"/>
      <c r="C120" s="207"/>
      <c r="D120" s="244">
        <f>SUM(D119-F119)</f>
        <v>31.200512822641031</v>
      </c>
      <c r="E120" s="242"/>
      <c r="F120" s="228"/>
      <c r="G120" s="165"/>
      <c r="O120" s="150"/>
      <c r="P120" s="150"/>
      <c r="Q120" s="150"/>
      <c r="R120" s="150"/>
      <c r="S120" s="150"/>
      <c r="T120" s="150"/>
      <c r="U120" s="150"/>
      <c r="V120" s="150"/>
      <c r="W120" s="150"/>
    </row>
    <row r="121" spans="1:23">
      <c r="A121" s="204" t="s">
        <v>178</v>
      </c>
      <c r="B121" s="203"/>
      <c r="C121" s="203"/>
      <c r="D121" s="245">
        <f>SUM(D120/F119)</f>
        <v>3.2257811084817768E-2</v>
      </c>
      <c r="E121" s="243"/>
      <c r="F121" s="239"/>
      <c r="G121" s="190"/>
      <c r="O121" s="150"/>
      <c r="P121" s="150"/>
      <c r="Q121" s="150"/>
      <c r="R121" s="150"/>
      <c r="S121" s="150"/>
      <c r="T121" s="150"/>
      <c r="U121" s="150"/>
      <c r="V121" s="150"/>
      <c r="W121" s="150"/>
    </row>
    <row r="122" spans="1:23">
      <c r="D122" s="155"/>
      <c r="E122" s="242"/>
      <c r="F122" s="228"/>
      <c r="O122" s="150"/>
      <c r="P122" s="150"/>
      <c r="Q122" s="150"/>
      <c r="R122" s="150"/>
      <c r="S122" s="150"/>
      <c r="T122" s="150"/>
      <c r="U122" s="150"/>
      <c r="V122" s="150"/>
      <c r="W122" s="150"/>
    </row>
    <row r="123" spans="1:23">
      <c r="A123" s="153" t="s">
        <v>132</v>
      </c>
      <c r="B123" s="154"/>
      <c r="C123" s="154"/>
      <c r="D123" s="164"/>
      <c r="E123" s="240"/>
      <c r="F123" s="227"/>
      <c r="G123" s="161"/>
      <c r="O123" s="150"/>
      <c r="P123" s="150"/>
      <c r="Q123" s="150"/>
      <c r="R123" s="150"/>
      <c r="S123" s="150"/>
      <c r="T123" s="150"/>
      <c r="U123" s="150"/>
      <c r="V123" s="150"/>
      <c r="W123" s="150"/>
    </row>
    <row r="124" spans="1:23">
      <c r="A124" s="155" t="s">
        <v>147</v>
      </c>
      <c r="D124" s="191">
        <f>SUM((E57/F57)/1000)*D92</f>
        <v>894.10150506839204</v>
      </c>
      <c r="E124" s="241">
        <f>SUM((I57/J57)/1000)*J92</f>
        <v>685.04538688992704</v>
      </c>
      <c r="F124" s="238">
        <f>SUM('FY22 Final'!D123)</f>
        <v>954.92691354923943</v>
      </c>
      <c r="G124" s="178">
        <f>SUM('FY22 Final'!E123)</f>
        <v>712.56753722824783</v>
      </c>
      <c r="O124" s="150"/>
      <c r="P124" s="150"/>
      <c r="Q124" s="150"/>
      <c r="R124" s="150"/>
      <c r="S124" s="150"/>
      <c r="T124" s="150"/>
      <c r="U124" s="150"/>
      <c r="V124" s="150"/>
      <c r="W124" s="150"/>
    </row>
    <row r="125" spans="1:23">
      <c r="A125" s="155" t="s">
        <v>175</v>
      </c>
      <c r="D125" s="191">
        <f>SUM(D91)</f>
        <v>596.06767004559481</v>
      </c>
      <c r="E125" s="241">
        <f>SUM(J91)</f>
        <v>456.69692459328468</v>
      </c>
      <c r="F125" s="238">
        <f>SUM('FY22 Final'!D124)</f>
        <v>636.61794236615981</v>
      </c>
      <c r="G125" s="178">
        <f>SUM('FY22 Final'!E124)</f>
        <v>475.04502481883191</v>
      </c>
      <c r="O125" s="150"/>
      <c r="P125" s="150"/>
      <c r="Q125" s="150"/>
      <c r="R125" s="150"/>
      <c r="S125" s="150"/>
      <c r="T125" s="150"/>
      <c r="U125" s="150"/>
      <c r="V125" s="150"/>
      <c r="W125" s="150"/>
    </row>
    <row r="126" spans="1:23">
      <c r="A126" s="155" t="s">
        <v>142</v>
      </c>
      <c r="D126" s="191">
        <f>SUM(D124:D125)</f>
        <v>1490.169175113987</v>
      </c>
      <c r="E126" s="241">
        <f>SUM(E124:E125)</f>
        <v>1141.7423114832118</v>
      </c>
      <c r="F126" s="238">
        <f>SUM('FY22 Final'!D125)</f>
        <v>1591.5448559153992</v>
      </c>
      <c r="G126" s="178">
        <f>SUM('FY22 Final'!E125)</f>
        <v>1187.6125620470798</v>
      </c>
      <c r="O126" s="150"/>
      <c r="P126" s="150"/>
      <c r="Q126" s="150"/>
      <c r="R126" s="150"/>
      <c r="S126" s="150"/>
      <c r="T126" s="150"/>
      <c r="U126" s="150"/>
      <c r="V126" s="150"/>
      <c r="W126" s="150"/>
    </row>
    <row r="127" spans="1:23">
      <c r="A127" s="234" t="s">
        <v>176</v>
      </c>
      <c r="B127" s="207"/>
      <c r="C127" s="207"/>
      <c r="D127" s="244">
        <f>SUM(D126:E126)</f>
        <v>2631.9114865971987</v>
      </c>
      <c r="E127" s="242"/>
      <c r="F127" s="238">
        <f>SUM('FY22 Final'!D126)</f>
        <v>2779.157417962479</v>
      </c>
      <c r="G127" s="178"/>
      <c r="O127" s="150"/>
      <c r="P127" s="150"/>
      <c r="Q127" s="150"/>
      <c r="R127" s="150"/>
      <c r="S127" s="150"/>
      <c r="T127" s="150"/>
      <c r="U127" s="150"/>
      <c r="V127" s="150"/>
      <c r="W127" s="150"/>
    </row>
    <row r="128" spans="1:23">
      <c r="A128" s="234" t="s">
        <v>177</v>
      </c>
      <c r="B128" s="207"/>
      <c r="C128" s="207"/>
      <c r="D128" s="244">
        <f>SUM(D127-F127)</f>
        <v>-147.24593136528028</v>
      </c>
      <c r="E128" s="242"/>
      <c r="F128" s="228"/>
      <c r="G128" s="165"/>
      <c r="O128" s="150"/>
      <c r="P128" s="150"/>
      <c r="Q128" s="150"/>
      <c r="R128" s="150"/>
      <c r="S128" s="150"/>
      <c r="T128" s="150"/>
      <c r="U128" s="150"/>
      <c r="V128" s="150"/>
      <c r="W128" s="150"/>
    </row>
    <row r="129" spans="1:23">
      <c r="A129" s="204" t="s">
        <v>178</v>
      </c>
      <c r="B129" s="203"/>
      <c r="C129" s="203"/>
      <c r="D129" s="245">
        <f>SUM(D128/F127)</f>
        <v>-5.2982220587286008E-2</v>
      </c>
      <c r="E129" s="243"/>
      <c r="F129" s="239"/>
      <c r="G129" s="190"/>
      <c r="O129" s="150"/>
      <c r="P129" s="150"/>
      <c r="Q129" s="150"/>
      <c r="R129" s="150"/>
      <c r="S129" s="150"/>
      <c r="T129" s="150"/>
      <c r="U129" s="150"/>
      <c r="V129" s="150"/>
      <c r="W129" s="150"/>
    </row>
    <row r="130" spans="1:23">
      <c r="D130" s="155"/>
      <c r="E130" s="242"/>
      <c r="F130" s="228"/>
      <c r="O130" s="150"/>
      <c r="P130" s="150"/>
      <c r="Q130" s="150"/>
      <c r="R130" s="150"/>
      <c r="S130" s="150"/>
      <c r="T130" s="150"/>
      <c r="U130" s="150"/>
      <c r="V130" s="150"/>
      <c r="W130" s="150"/>
    </row>
    <row r="131" spans="1:23">
      <c r="A131" s="153" t="s">
        <v>133</v>
      </c>
      <c r="B131" s="154"/>
      <c r="C131" s="154"/>
      <c r="D131" s="164"/>
      <c r="E131" s="240"/>
      <c r="F131" s="227"/>
      <c r="G131" s="161"/>
      <c r="O131" s="150"/>
      <c r="P131" s="150"/>
      <c r="Q131" s="150"/>
      <c r="R131" s="150"/>
      <c r="S131" s="150"/>
      <c r="T131" s="150"/>
      <c r="U131" s="150"/>
      <c r="V131" s="150"/>
      <c r="W131" s="150"/>
    </row>
    <row r="132" spans="1:23">
      <c r="A132" s="155" t="s">
        <v>147</v>
      </c>
      <c r="D132" s="191">
        <f>SUM((E58/F58)/1000)*D96</f>
        <v>5233.0250582874805</v>
      </c>
      <c r="E132" s="241">
        <f>SUM((I58/J58)/1000)*J96</f>
        <v>3599.2154940910827</v>
      </c>
      <c r="F132" s="238">
        <f>SUM('FY22 Final'!D131)</f>
        <v>5549.1349600674057</v>
      </c>
      <c r="G132" s="178">
        <f>SUM('FY22 Final'!E131)</f>
        <v>3789.2740058132945</v>
      </c>
      <c r="O132" s="150"/>
      <c r="P132" s="150"/>
      <c r="Q132" s="150"/>
      <c r="R132" s="150"/>
      <c r="S132" s="150"/>
      <c r="T132" s="150"/>
      <c r="U132" s="150"/>
      <c r="V132" s="150"/>
      <c r="W132" s="150"/>
    </row>
    <row r="133" spans="1:23">
      <c r="A133" s="155" t="s">
        <v>175</v>
      </c>
      <c r="D133" s="191">
        <f>SUM(D95)</f>
        <v>5233.0250582874814</v>
      </c>
      <c r="E133" s="241">
        <f>SUM(J95)</f>
        <v>3599.2154940910827</v>
      </c>
      <c r="F133" s="238">
        <f>SUM('FY22 Final'!D132)</f>
        <v>5549.1349600674066</v>
      </c>
      <c r="G133" s="178">
        <f>SUM('FY22 Final'!E132)</f>
        <v>3789.2740058132949</v>
      </c>
      <c r="O133" s="150"/>
      <c r="P133" s="150"/>
      <c r="Q133" s="150"/>
      <c r="R133" s="150"/>
      <c r="S133" s="150"/>
      <c r="T133" s="150"/>
      <c r="U133" s="150"/>
      <c r="V133" s="150"/>
      <c r="W133" s="150"/>
    </row>
    <row r="134" spans="1:23">
      <c r="A134" s="155" t="s">
        <v>142</v>
      </c>
      <c r="D134" s="191">
        <f>SUM(D132:D133)</f>
        <v>10466.050116574963</v>
      </c>
      <c r="E134" s="241">
        <f>SUM(E132:E133)</f>
        <v>7198.4309881821655</v>
      </c>
      <c r="F134" s="238">
        <f>SUM('FY22 Final'!D133)</f>
        <v>11098.269920134811</v>
      </c>
      <c r="G134" s="178">
        <f>SUM('FY22 Final'!E133)</f>
        <v>7578.5480116265899</v>
      </c>
      <c r="O134" s="150"/>
      <c r="P134" s="150"/>
      <c r="Q134" s="150"/>
      <c r="R134" s="150"/>
      <c r="S134" s="150"/>
      <c r="T134" s="150"/>
      <c r="U134" s="150"/>
      <c r="V134" s="150"/>
      <c r="W134" s="150"/>
    </row>
    <row r="135" spans="1:23">
      <c r="A135" s="234" t="s">
        <v>176</v>
      </c>
      <c r="B135" s="207"/>
      <c r="C135" s="207"/>
      <c r="D135" s="244">
        <f>SUM(D134:E134)</f>
        <v>17664.481104757127</v>
      </c>
      <c r="E135" s="242"/>
      <c r="F135" s="238">
        <f>SUM('FY22 Final'!D134)</f>
        <v>18676.817931761401</v>
      </c>
      <c r="G135" s="178"/>
      <c r="O135" s="150"/>
      <c r="P135" s="150"/>
      <c r="Q135" s="150"/>
      <c r="R135" s="150"/>
      <c r="S135" s="150"/>
      <c r="T135" s="150"/>
      <c r="U135" s="150"/>
      <c r="V135" s="150"/>
      <c r="W135" s="150"/>
    </row>
    <row r="136" spans="1:23">
      <c r="A136" s="234" t="s">
        <v>177</v>
      </c>
      <c r="B136" s="207"/>
      <c r="C136" s="207"/>
      <c r="D136" s="244">
        <f>SUM(D135-F135)</f>
        <v>-1012.3368270042738</v>
      </c>
      <c r="E136" s="242"/>
      <c r="F136" s="228"/>
      <c r="G136" s="165"/>
      <c r="O136" s="150"/>
      <c r="P136" s="150"/>
      <c r="Q136" s="150"/>
      <c r="R136" s="150"/>
      <c r="S136" s="150"/>
      <c r="T136" s="150"/>
      <c r="U136" s="150"/>
      <c r="V136" s="150"/>
      <c r="W136" s="150"/>
    </row>
    <row r="137" spans="1:23">
      <c r="A137" s="204" t="s">
        <v>178</v>
      </c>
      <c r="B137" s="203"/>
      <c r="C137" s="203"/>
      <c r="D137" s="245">
        <f>SUM(D136/F135)</f>
        <v>-5.4202853542985777E-2</v>
      </c>
      <c r="E137" s="243"/>
      <c r="F137" s="239"/>
      <c r="G137" s="190"/>
      <c r="O137" s="150"/>
      <c r="P137" s="150"/>
      <c r="Q137" s="150"/>
      <c r="R137" s="150"/>
      <c r="S137" s="150"/>
      <c r="T137" s="150"/>
      <c r="U137" s="150"/>
      <c r="V137" s="150"/>
      <c r="W137" s="150"/>
    </row>
    <row r="141" spans="1:23" ht="18.75">
      <c r="A141" s="259" t="s">
        <v>235</v>
      </c>
      <c r="O141" s="150"/>
      <c r="P141" s="150"/>
      <c r="Q141" s="150"/>
      <c r="R141" s="150"/>
      <c r="S141" s="150"/>
      <c r="T141" s="150"/>
      <c r="U141" s="150"/>
      <c r="V141" s="150"/>
      <c r="W141" s="150"/>
    </row>
    <row r="143" spans="1:23" ht="18.75">
      <c r="A143" s="289"/>
      <c r="B143" s="289"/>
      <c r="C143" s="289"/>
      <c r="E143" s="289"/>
      <c r="F143" s="170"/>
      <c r="G143" s="170"/>
      <c r="O143" s="150"/>
      <c r="P143" s="150"/>
      <c r="Q143" s="150"/>
      <c r="R143" s="150"/>
      <c r="S143" s="150"/>
      <c r="T143" s="150"/>
      <c r="U143" s="150"/>
      <c r="V143" s="150"/>
      <c r="W143" s="150"/>
    </row>
    <row r="144" spans="1:23" ht="18.75">
      <c r="A144" s="290" t="s">
        <v>236</v>
      </c>
      <c r="B144" s="290"/>
      <c r="C144" s="290"/>
      <c r="E144" s="290" t="s">
        <v>212</v>
      </c>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90"/>
      <c r="B146" s="290"/>
      <c r="C146" s="290"/>
      <c r="E146" s="290"/>
      <c r="O146" s="150"/>
      <c r="P146" s="150"/>
      <c r="Q146" s="150"/>
      <c r="R146" s="150"/>
      <c r="S146" s="150"/>
      <c r="T146" s="150"/>
      <c r="U146" s="150"/>
      <c r="V146" s="150"/>
      <c r="W146" s="150"/>
    </row>
    <row r="147" spans="1:23" ht="18.75">
      <c r="A147" s="289"/>
      <c r="B147" s="289"/>
      <c r="C147" s="289"/>
      <c r="E147" s="289"/>
      <c r="F147" s="170"/>
      <c r="G147" s="170"/>
      <c r="O147" s="150"/>
      <c r="P147" s="150"/>
      <c r="Q147" s="150"/>
      <c r="R147" s="150"/>
      <c r="S147" s="150"/>
      <c r="T147" s="150"/>
      <c r="U147" s="150"/>
      <c r="V147" s="150"/>
      <c r="W147" s="150"/>
    </row>
    <row r="148" spans="1:23" ht="18.75">
      <c r="A148" s="290" t="s">
        <v>237</v>
      </c>
      <c r="B148" s="290"/>
      <c r="C148" s="290"/>
      <c r="E148" s="290" t="s">
        <v>239</v>
      </c>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90"/>
      <c r="B150" s="290"/>
      <c r="C150" s="290"/>
      <c r="D150" s="290"/>
      <c r="E150" s="290"/>
      <c r="O150" s="150"/>
      <c r="P150" s="150"/>
      <c r="Q150" s="150"/>
      <c r="R150" s="150"/>
      <c r="S150" s="150"/>
      <c r="T150" s="150"/>
      <c r="U150" s="150"/>
      <c r="V150" s="150"/>
      <c r="W150" s="150"/>
    </row>
    <row r="151" spans="1:23" ht="18.75">
      <c r="A151" s="289"/>
      <c r="B151" s="289"/>
      <c r="C151" s="289"/>
      <c r="D151" s="290"/>
      <c r="E151" s="290"/>
      <c r="O151" s="150"/>
      <c r="P151" s="150"/>
      <c r="Q151" s="150"/>
      <c r="R151" s="150"/>
      <c r="S151" s="150"/>
      <c r="T151" s="150"/>
      <c r="U151" s="150"/>
      <c r="V151" s="150"/>
      <c r="W151" s="150"/>
    </row>
    <row r="152" spans="1:23" ht="18.75">
      <c r="A152" s="290" t="s">
        <v>238</v>
      </c>
      <c r="B152" s="290"/>
      <c r="C152" s="290"/>
      <c r="D152" s="290"/>
      <c r="E152" s="290"/>
      <c r="O152" s="150"/>
      <c r="P152" s="150"/>
      <c r="Q152" s="150"/>
      <c r="R152" s="150"/>
      <c r="S152" s="150"/>
      <c r="T152" s="150"/>
      <c r="U152" s="150"/>
      <c r="V152" s="150"/>
      <c r="W152"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3:E113"/>
    <mergeCell ref="F113:G113"/>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106" zoomScaleNormal="100" workbookViewId="0">
      <selection activeCell="E115" sqref="E115"/>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3" t="s">
        <v>199</v>
      </c>
      <c r="B9" s="314"/>
      <c r="D9" s="162">
        <v>358965</v>
      </c>
      <c r="E9" s="162">
        <v>606387</v>
      </c>
      <c r="F9" s="163">
        <f>D9+E9</f>
        <v>965352</v>
      </c>
      <c r="O9" s="151"/>
      <c r="P9" s="151"/>
    </row>
    <row r="10" spans="1:16" s="150" customFormat="1">
      <c r="A10" s="315" t="s">
        <v>219</v>
      </c>
      <c r="B10" s="316"/>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08" t="s">
        <v>2</v>
      </c>
      <c r="E23" s="304"/>
      <c r="F23" s="304"/>
      <c r="G23" s="304"/>
      <c r="H23" s="304"/>
      <c r="I23" s="304"/>
      <c r="J23" s="309" t="s">
        <v>26</v>
      </c>
      <c r="K23" s="304"/>
      <c r="L23" s="304"/>
      <c r="M23" s="304"/>
      <c r="N23" s="304"/>
      <c r="O23" s="305"/>
    </row>
    <row r="24" spans="1:16" s="150" customFormat="1">
      <c r="A24" s="152"/>
      <c r="D24" s="298" t="s">
        <v>219</v>
      </c>
      <c r="E24" s="299"/>
      <c r="F24" s="298" t="s">
        <v>199</v>
      </c>
      <c r="G24" s="299"/>
      <c r="H24" s="298" t="s">
        <v>222</v>
      </c>
      <c r="I24" s="300"/>
      <c r="J24" s="301" t="s">
        <v>219</v>
      </c>
      <c r="K24" s="299"/>
      <c r="L24" s="298" t="s">
        <v>199</v>
      </c>
      <c r="M24" s="299"/>
      <c r="N24" s="298" t="s">
        <v>222</v>
      </c>
      <c r="O24" s="299"/>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08" t="s">
        <v>2</v>
      </c>
      <c r="E34" s="304"/>
      <c r="F34" s="304"/>
      <c r="G34" s="304"/>
      <c r="H34" s="304"/>
      <c r="I34" s="304"/>
      <c r="J34" s="309" t="s">
        <v>26</v>
      </c>
      <c r="K34" s="304"/>
      <c r="L34" s="304"/>
      <c r="M34" s="304"/>
      <c r="N34" s="304"/>
      <c r="O34" s="305"/>
    </row>
    <row r="35" spans="1:16" s="150" customFormat="1">
      <c r="D35" s="298" t="s">
        <v>219</v>
      </c>
      <c r="E35" s="299"/>
      <c r="F35" s="298" t="s">
        <v>199</v>
      </c>
      <c r="G35" s="299"/>
      <c r="H35" s="188"/>
      <c r="I35" s="152"/>
      <c r="J35" s="301" t="s">
        <v>219</v>
      </c>
      <c r="K35" s="299"/>
      <c r="L35" s="298" t="s">
        <v>199</v>
      </c>
      <c r="M35" s="299"/>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8" t="s">
        <v>2</v>
      </c>
      <c r="D53" s="304"/>
      <c r="E53" s="304"/>
      <c r="F53" s="305"/>
      <c r="G53" s="308" t="s">
        <v>26</v>
      </c>
      <c r="H53" s="304"/>
      <c r="I53" s="304"/>
      <c r="J53" s="305"/>
    </row>
    <row r="54" spans="1:12" s="150" customFormat="1" ht="60">
      <c r="A54" s="164"/>
      <c r="B54" s="154"/>
      <c r="C54" s="310"/>
      <c r="D54" s="30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1" t="s">
        <v>132</v>
      </c>
      <c r="B57" s="312"/>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298" t="s">
        <v>2</v>
      </c>
      <c r="D65" s="300"/>
      <c r="E65" s="300"/>
      <c r="F65" s="299"/>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1" t="s">
        <v>43</v>
      </c>
      <c r="B67" s="312"/>
      <c r="C67" s="312"/>
      <c r="D67" s="166">
        <f>SUM(-(K68)*5/100)</f>
        <v>-2.9287543894563176E-2</v>
      </c>
      <c r="E67" s="166">
        <f>SUM(D56+D67)</f>
        <v>0.52579619653140874</v>
      </c>
      <c r="F67" s="173">
        <f>SUM('FY21 Final'!E67)</f>
        <v>0.50933526181149502</v>
      </c>
      <c r="J67" s="258" t="s">
        <v>186</v>
      </c>
      <c r="K67" s="304" t="s">
        <v>187</v>
      </c>
      <c r="L67" s="305"/>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294" t="s">
        <v>219</v>
      </c>
      <c r="D73" s="297"/>
      <c r="E73" s="294" t="s">
        <v>199</v>
      </c>
      <c r="F73" s="297"/>
    </row>
    <row r="74" spans="1:12" s="150" customFormat="1">
      <c r="A74" s="164"/>
      <c r="B74" s="154"/>
      <c r="C74" s="153" t="s">
        <v>2</v>
      </c>
      <c r="D74" s="176" t="s">
        <v>26</v>
      </c>
      <c r="E74" s="153" t="s">
        <v>2</v>
      </c>
      <c r="F74" s="176" t="s">
        <v>26</v>
      </c>
    </row>
    <row r="75" spans="1:12" s="150" customFormat="1">
      <c r="A75" s="306" t="s">
        <v>191</v>
      </c>
      <c r="B75" s="307"/>
      <c r="C75" s="208">
        <f>SUM(E48)</f>
        <v>325286.76</v>
      </c>
      <c r="D75" s="209">
        <f>SUM(K48)</f>
        <v>349924.44</v>
      </c>
      <c r="E75" s="192">
        <f>SUM(G48)</f>
        <v>304550.83999999997</v>
      </c>
      <c r="F75" s="178">
        <f>SUM(M48)</f>
        <v>394321.44</v>
      </c>
    </row>
    <row r="76" spans="1:12" s="150" customFormat="1">
      <c r="A76" s="306"/>
      <c r="B76" s="307"/>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08" t="s">
        <v>2</v>
      </c>
      <c r="E83" s="304"/>
      <c r="F83" s="304"/>
      <c r="G83" s="304"/>
      <c r="H83" s="304"/>
      <c r="I83" s="304"/>
      <c r="J83" s="309" t="s">
        <v>26</v>
      </c>
      <c r="K83" s="304"/>
      <c r="L83" s="304"/>
      <c r="M83" s="304"/>
      <c r="N83" s="304"/>
      <c r="O83" s="305"/>
      <c r="P83" s="150"/>
    </row>
    <row r="84" spans="1:16">
      <c r="C84" s="155"/>
      <c r="D84" s="298" t="s">
        <v>219</v>
      </c>
      <c r="E84" s="299"/>
      <c r="F84" s="298" t="s">
        <v>199</v>
      </c>
      <c r="G84" s="299"/>
      <c r="H84" s="298" t="s">
        <v>222</v>
      </c>
      <c r="I84" s="300"/>
      <c r="J84" s="301" t="s">
        <v>219</v>
      </c>
      <c r="K84" s="299"/>
      <c r="L84" s="298" t="s">
        <v>199</v>
      </c>
      <c r="M84" s="299"/>
      <c r="N84" s="302" t="s">
        <v>222</v>
      </c>
      <c r="O84" s="303"/>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294" t="s">
        <v>219</v>
      </c>
      <c r="E112" s="295"/>
      <c r="F112" s="296" t="s">
        <v>199</v>
      </c>
      <c r="G112" s="29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5" orientation="landscape" verticalDpi="0"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B13" zoomScaleNormal="100" workbookViewId="0">
      <selection activeCell="F31" sqref="F31"/>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3" t="s">
        <v>135</v>
      </c>
      <c r="B9" s="314"/>
      <c r="D9" s="162">
        <v>357985</v>
      </c>
      <c r="E9" s="162">
        <v>600152</v>
      </c>
      <c r="F9" s="163">
        <f>D9+E9</f>
        <v>958137</v>
      </c>
      <c r="O9" s="151"/>
      <c r="P9" s="151"/>
    </row>
    <row r="10" spans="1:16" s="150" customFormat="1">
      <c r="A10" s="315" t="s">
        <v>199</v>
      </c>
      <c r="B10" s="316"/>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08" t="s">
        <v>2</v>
      </c>
      <c r="E23" s="304"/>
      <c r="F23" s="304"/>
      <c r="G23" s="304"/>
      <c r="H23" s="304"/>
      <c r="I23" s="304"/>
      <c r="J23" s="309" t="s">
        <v>26</v>
      </c>
      <c r="K23" s="304"/>
      <c r="L23" s="304"/>
      <c r="M23" s="304"/>
      <c r="N23" s="304"/>
      <c r="O23" s="305"/>
    </row>
    <row r="24" spans="1:16" s="150" customFormat="1">
      <c r="A24" s="152"/>
      <c r="D24" s="298" t="s">
        <v>199</v>
      </c>
      <c r="E24" s="299"/>
      <c r="F24" s="298" t="s">
        <v>135</v>
      </c>
      <c r="G24" s="299"/>
      <c r="H24" s="298" t="s">
        <v>204</v>
      </c>
      <c r="I24" s="300"/>
      <c r="J24" s="301" t="s">
        <v>199</v>
      </c>
      <c r="K24" s="299"/>
      <c r="L24" s="298" t="s">
        <v>135</v>
      </c>
      <c r="M24" s="299"/>
      <c r="N24" s="298" t="s">
        <v>204</v>
      </c>
      <c r="O24" s="299"/>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08" t="s">
        <v>2</v>
      </c>
      <c r="E34" s="304"/>
      <c r="F34" s="304"/>
      <c r="G34" s="304"/>
      <c r="H34" s="304"/>
      <c r="I34" s="304"/>
      <c r="J34" s="309" t="s">
        <v>26</v>
      </c>
      <c r="K34" s="304"/>
      <c r="L34" s="304"/>
      <c r="M34" s="304"/>
      <c r="N34" s="304"/>
      <c r="O34" s="305"/>
    </row>
    <row r="35" spans="1:16" s="150" customFormat="1">
      <c r="D35" s="298" t="s">
        <v>199</v>
      </c>
      <c r="E35" s="299"/>
      <c r="F35" s="298" t="s">
        <v>135</v>
      </c>
      <c r="G35" s="299"/>
      <c r="H35" s="188"/>
      <c r="I35" s="152"/>
      <c r="J35" s="301" t="s">
        <v>199</v>
      </c>
      <c r="K35" s="299"/>
      <c r="L35" s="298" t="s">
        <v>203</v>
      </c>
      <c r="M35" s="299"/>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8" t="s">
        <v>2</v>
      </c>
      <c r="D53" s="304"/>
      <c r="E53" s="304"/>
      <c r="F53" s="305"/>
      <c r="G53" s="308" t="s">
        <v>26</v>
      </c>
      <c r="H53" s="304"/>
      <c r="I53" s="304"/>
      <c r="J53" s="305"/>
    </row>
    <row r="54" spans="1:12" s="150" customFormat="1" ht="60">
      <c r="A54" s="164"/>
      <c r="B54" s="154"/>
      <c r="C54" s="310"/>
      <c r="D54" s="30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1" t="s">
        <v>132</v>
      </c>
      <c r="B57" s="312"/>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298" t="s">
        <v>2</v>
      </c>
      <c r="D65" s="300"/>
      <c r="E65" s="300"/>
      <c r="F65" s="299"/>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1" t="s">
        <v>43</v>
      </c>
      <c r="B67" s="312"/>
      <c r="C67" s="312"/>
      <c r="D67" s="166">
        <f>SUM(-(K68)*5/100)</f>
        <v>-2.8422069988389972E-2</v>
      </c>
      <c r="E67" s="166">
        <f>SUM(D56+D67)</f>
        <v>0.50933526181149502</v>
      </c>
      <c r="F67" s="173">
        <f>SUM('FY20 Final'!E67)</f>
        <v>0.53504885352558651</v>
      </c>
      <c r="J67" s="258" t="s">
        <v>186</v>
      </c>
      <c r="K67" s="304" t="s">
        <v>187</v>
      </c>
      <c r="L67" s="305"/>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294" t="s">
        <v>199</v>
      </c>
      <c r="D73" s="297"/>
      <c r="E73" s="294" t="s">
        <v>135</v>
      </c>
      <c r="F73" s="297"/>
    </row>
    <row r="74" spans="1:12" s="150" customFormat="1">
      <c r="A74" s="164"/>
      <c r="B74" s="154"/>
      <c r="C74" s="153" t="s">
        <v>2</v>
      </c>
      <c r="D74" s="176" t="s">
        <v>26</v>
      </c>
      <c r="E74" s="153" t="s">
        <v>2</v>
      </c>
      <c r="F74" s="176" t="s">
        <v>26</v>
      </c>
    </row>
    <row r="75" spans="1:12" s="150" customFormat="1">
      <c r="A75" s="306" t="s">
        <v>191</v>
      </c>
      <c r="B75" s="307"/>
      <c r="C75" s="208">
        <f>SUM(E48)</f>
        <v>304550.83999999997</v>
      </c>
      <c r="D75" s="209">
        <f>SUM(K48)</f>
        <v>394321.44</v>
      </c>
      <c r="E75" s="192">
        <f>SUM(G48)</f>
        <v>302698.2</v>
      </c>
      <c r="F75" s="178">
        <f>SUM(M48)</f>
        <v>402026.93</v>
      </c>
    </row>
    <row r="76" spans="1:12" s="150" customFormat="1">
      <c r="A76" s="306"/>
      <c r="B76" s="307"/>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08" t="s">
        <v>2</v>
      </c>
      <c r="E83" s="304"/>
      <c r="F83" s="304"/>
      <c r="G83" s="304"/>
      <c r="H83" s="304"/>
      <c r="I83" s="304"/>
      <c r="J83" s="309" t="s">
        <v>26</v>
      </c>
      <c r="K83" s="304"/>
      <c r="L83" s="304"/>
      <c r="M83" s="304"/>
      <c r="N83" s="304"/>
      <c r="O83" s="305"/>
      <c r="P83" s="150"/>
    </row>
    <row r="84" spans="1:16">
      <c r="C84" s="155"/>
      <c r="D84" s="298" t="s">
        <v>199</v>
      </c>
      <c r="E84" s="299"/>
      <c r="F84" s="298" t="s">
        <v>135</v>
      </c>
      <c r="G84" s="299"/>
      <c r="H84" s="298" t="s">
        <v>204</v>
      </c>
      <c r="I84" s="300"/>
      <c r="J84" s="301" t="s">
        <v>199</v>
      </c>
      <c r="K84" s="299"/>
      <c r="L84" s="298" t="s">
        <v>135</v>
      </c>
      <c r="M84" s="299"/>
      <c r="N84" s="302" t="s">
        <v>204</v>
      </c>
      <c r="O84" s="303"/>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294" t="s">
        <v>199</v>
      </c>
      <c r="E112" s="295"/>
      <c r="F112" s="296" t="s">
        <v>135</v>
      </c>
      <c r="G112" s="29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61" zoomScale="60" zoomScaleNormal="100" workbookViewId="0">
      <selection activeCell="E6" sqref="E6"/>
    </sheetView>
  </sheetViews>
  <sheetFormatPr defaultColWidth="9"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3" t="s">
        <v>134</v>
      </c>
      <c r="B9" s="314"/>
      <c r="D9" s="162">
        <v>345137</v>
      </c>
      <c r="E9" s="162">
        <v>562000</v>
      </c>
      <c r="F9" s="163">
        <f>D9+E9</f>
        <v>907137</v>
      </c>
      <c r="O9" s="151"/>
      <c r="P9" s="151"/>
    </row>
    <row r="10" spans="1:16" s="150" customFormat="1">
      <c r="A10" s="315" t="s">
        <v>135</v>
      </c>
      <c r="B10" s="316"/>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08" t="s">
        <v>2</v>
      </c>
      <c r="E23" s="304"/>
      <c r="F23" s="304"/>
      <c r="G23" s="304"/>
      <c r="H23" s="304"/>
      <c r="I23" s="304"/>
      <c r="J23" s="309" t="s">
        <v>26</v>
      </c>
      <c r="K23" s="304"/>
      <c r="L23" s="304"/>
      <c r="M23" s="304"/>
      <c r="N23" s="304"/>
      <c r="O23" s="305"/>
    </row>
    <row r="24" spans="1:16" s="150" customFormat="1">
      <c r="A24" s="152"/>
      <c r="D24" s="298" t="s">
        <v>135</v>
      </c>
      <c r="E24" s="299"/>
      <c r="F24" s="298" t="s">
        <v>152</v>
      </c>
      <c r="G24" s="299"/>
      <c r="H24" s="298" t="s">
        <v>153</v>
      </c>
      <c r="I24" s="300"/>
      <c r="J24" s="301" t="s">
        <v>135</v>
      </c>
      <c r="K24" s="299"/>
      <c r="L24" s="298" t="s">
        <v>152</v>
      </c>
      <c r="M24" s="299"/>
      <c r="N24" s="298" t="s">
        <v>153</v>
      </c>
      <c r="O24" s="299"/>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08" t="s">
        <v>2</v>
      </c>
      <c r="E34" s="304"/>
      <c r="F34" s="304"/>
      <c r="G34" s="304"/>
      <c r="H34" s="304"/>
      <c r="I34" s="304"/>
      <c r="J34" s="309" t="s">
        <v>26</v>
      </c>
      <c r="K34" s="304"/>
      <c r="L34" s="304"/>
      <c r="M34" s="304"/>
      <c r="N34" s="304"/>
      <c r="O34" s="305"/>
    </row>
    <row r="35" spans="1:16" s="150" customFormat="1">
      <c r="D35" s="298" t="s">
        <v>135</v>
      </c>
      <c r="E35" s="299"/>
      <c r="F35" s="298" t="s">
        <v>152</v>
      </c>
      <c r="G35" s="299"/>
      <c r="H35" s="188"/>
      <c r="I35" s="152"/>
      <c r="J35" s="301" t="s">
        <v>135</v>
      </c>
      <c r="K35" s="299"/>
      <c r="L35" s="298" t="s">
        <v>152</v>
      </c>
      <c r="M35" s="299"/>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08" t="s">
        <v>2</v>
      </c>
      <c r="D53" s="304"/>
      <c r="E53" s="304"/>
      <c r="F53" s="305"/>
      <c r="G53" s="308" t="s">
        <v>26</v>
      </c>
      <c r="H53" s="304"/>
      <c r="I53" s="304"/>
      <c r="J53" s="305"/>
    </row>
    <row r="54" spans="1:12" s="150" customFormat="1" ht="60">
      <c r="A54" s="164"/>
      <c r="B54" s="154"/>
      <c r="C54" s="310"/>
      <c r="D54" s="302"/>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1" t="s">
        <v>132</v>
      </c>
      <c r="B57" s="312"/>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298" t="s">
        <v>2</v>
      </c>
      <c r="D65" s="300"/>
      <c r="E65" s="300"/>
      <c r="F65" s="299"/>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1" t="s">
        <v>43</v>
      </c>
      <c r="B67" s="312"/>
      <c r="C67" s="312"/>
      <c r="D67" s="166">
        <f>SUM(-(K68)*5/100)</f>
        <v>-3.0102956517231768E-2</v>
      </c>
      <c r="E67" s="166">
        <f>SUM(D56+D67)</f>
        <v>0.53504885352558651</v>
      </c>
      <c r="F67" s="173">
        <f>SUM('FY19 Final'!C11)</f>
        <v>0.57700966350845162</v>
      </c>
      <c r="J67" s="258" t="s">
        <v>186</v>
      </c>
      <c r="K67" s="304" t="s">
        <v>187</v>
      </c>
      <c r="L67" s="305"/>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294" t="s">
        <v>135</v>
      </c>
      <c r="D73" s="297"/>
      <c r="E73" s="294" t="s">
        <v>134</v>
      </c>
      <c r="F73" s="297"/>
    </row>
    <row r="74" spans="1:12" s="150" customFormat="1">
      <c r="A74" s="164"/>
      <c r="B74" s="154"/>
      <c r="C74" s="153" t="s">
        <v>2</v>
      </c>
      <c r="D74" s="176" t="s">
        <v>26</v>
      </c>
      <c r="E74" s="153" t="s">
        <v>2</v>
      </c>
      <c r="F74" s="176" t="s">
        <v>26</v>
      </c>
    </row>
    <row r="75" spans="1:12" s="150" customFormat="1">
      <c r="A75" s="306" t="s">
        <v>191</v>
      </c>
      <c r="B75" s="307"/>
      <c r="C75" s="208">
        <f>SUM(E48)</f>
        <v>302698.2</v>
      </c>
      <c r="D75" s="209">
        <f>SUM(K48)</f>
        <v>402026.93</v>
      </c>
      <c r="E75" s="192">
        <f>SUM(G48)</f>
        <v>296310</v>
      </c>
      <c r="F75" s="178">
        <f>SUM(M48)</f>
        <v>387161</v>
      </c>
    </row>
    <row r="76" spans="1:12" s="150" customFormat="1">
      <c r="A76" s="306"/>
      <c r="B76" s="307"/>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08" t="s">
        <v>2</v>
      </c>
      <c r="E83" s="304"/>
      <c r="F83" s="304"/>
      <c r="G83" s="304"/>
      <c r="H83" s="304"/>
      <c r="I83" s="304"/>
      <c r="J83" s="309" t="s">
        <v>26</v>
      </c>
      <c r="K83" s="304"/>
      <c r="L83" s="304"/>
      <c r="M83" s="304"/>
      <c r="N83" s="304"/>
      <c r="O83" s="305"/>
      <c r="P83" s="150"/>
    </row>
    <row r="84" spans="1:16">
      <c r="C84" s="155"/>
      <c r="D84" s="298" t="s">
        <v>135</v>
      </c>
      <c r="E84" s="299"/>
      <c r="F84" s="298" t="s">
        <v>152</v>
      </c>
      <c r="G84" s="299"/>
      <c r="H84" s="298" t="s">
        <v>153</v>
      </c>
      <c r="I84" s="300"/>
      <c r="J84" s="301" t="s">
        <v>135</v>
      </c>
      <c r="K84" s="299"/>
      <c r="L84" s="298" t="s">
        <v>152</v>
      </c>
      <c r="M84" s="299"/>
      <c r="N84" s="302" t="s">
        <v>153</v>
      </c>
      <c r="O84" s="303"/>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294" t="s">
        <v>135</v>
      </c>
      <c r="E112" s="295"/>
      <c r="F112" s="296" t="s">
        <v>134</v>
      </c>
      <c r="G112" s="297"/>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 ref="F84:G84"/>
    <mergeCell ref="H84:I84"/>
    <mergeCell ref="J84:K84"/>
    <mergeCell ref="L84:M84"/>
    <mergeCell ref="K67:L67"/>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s>
  <pageMargins left="0.7" right="0.7" top="0.75" bottom="0.75" header="0.3" footer="0.3"/>
  <pageSetup scale="59" orientation="landscape"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17" t="s">
        <v>69</v>
      </c>
      <c r="H3" s="317"/>
      <c r="I3" s="317" t="s">
        <v>67</v>
      </c>
      <c r="J3" s="318"/>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FY23 DRAFT</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Town Manager</cp:lastModifiedBy>
  <cp:revision>15</cp:revision>
  <cp:lastPrinted>2022-04-15T14:36:43Z</cp:lastPrinted>
  <dcterms:created xsi:type="dcterms:W3CDTF">2016-04-29T13:54:33Z</dcterms:created>
  <dcterms:modified xsi:type="dcterms:W3CDTF">2023-02-17T15:52:22Z</dcterms:modified>
</cp:coreProperties>
</file>