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BUDGETS/Budget 2027/1-6-25 meeting - presentation/"/>
    </mc:Choice>
  </mc:AlternateContent>
  <xr:revisionPtr revIDLastSave="402" documentId="8_{5F28CD91-500F-44AB-84CC-F987DA07A222}" xr6:coauthVersionLast="47" xr6:coauthVersionMax="47" xr10:uidLastSave="{62CDE672-4DC7-4B62-A2AE-FE811C13489E}"/>
  <bookViews>
    <workbookView xWindow="-120" yWindow="-120" windowWidth="24240" windowHeight="13020" xr2:uid="{A06337EF-6C3A-4434-AF16-355BB750D36B}"/>
  </bookViews>
  <sheets>
    <sheet name="FY27 Expense" sheetId="1" r:id="rId1"/>
    <sheet name="FY27 Revenue" sheetId="2" r:id="rId2"/>
    <sheet name="Unassigned Funds Historic Usage" sheetId="21" r:id="rId3"/>
    <sheet name="Unassigned Funds Projected" sheetId="18" r:id="rId4"/>
    <sheet name="Unassigned Funds past years" sheetId="17" r:id="rId5"/>
    <sheet name="FY26 Capital Reserve Expend" sheetId="6" r:id="rId6"/>
    <sheet name="Reserves" sheetId="4" r:id="rId7"/>
    <sheet name="FY27 Fire Protection" sheetId="13" r:id="rId8"/>
  </sheets>
  <definedNames>
    <definedName name="_xlnm.Print_Area" localSheetId="0">'FY27 Expense'!$A$1:$H$478</definedName>
    <definedName name="_xlnm.Print_Area" localSheetId="1">'FY27 Revenue'!$A$1:$G$58,'FY27 Revenue'!$H$1:$N$28</definedName>
    <definedName name="_xlnm.Print_Titles" localSheetId="0">'FY27 Expense'!$1:$1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8" l="1"/>
  <c r="O16" i="18"/>
  <c r="O34" i="18"/>
  <c r="O36" i="18" s="1"/>
  <c r="Q40" i="18" s="1"/>
  <c r="Q39" i="18"/>
  <c r="E352" i="1"/>
  <c r="F352" i="1"/>
  <c r="G352" i="1"/>
  <c r="D352" i="1"/>
  <c r="G332" i="1"/>
  <c r="G474" i="1"/>
  <c r="G467" i="1"/>
  <c r="G459" i="1"/>
  <c r="G449" i="1"/>
  <c r="G428" i="1"/>
  <c r="G422" i="1"/>
  <c r="G413" i="1"/>
  <c r="G403" i="1"/>
  <c r="G399" i="1"/>
  <c r="G376" i="1"/>
  <c r="G372" i="1"/>
  <c r="G361" i="1"/>
  <c r="G348" i="1"/>
  <c r="G354" i="1" s="1"/>
  <c r="G338" i="1"/>
  <c r="G327" i="1"/>
  <c r="G324" i="1"/>
  <c r="G319" i="1"/>
  <c r="G316" i="1"/>
  <c r="G304" i="1"/>
  <c r="G300" i="1"/>
  <c r="G294" i="1"/>
  <c r="G291" i="1"/>
  <c r="G288" i="1"/>
  <c r="G280" i="1"/>
  <c r="G277" i="1"/>
  <c r="G270" i="1"/>
  <c r="G266" i="1"/>
  <c r="G261" i="1"/>
  <c r="G244" i="1"/>
  <c r="G241" i="1"/>
  <c r="G237" i="1"/>
  <c r="G234" i="1"/>
  <c r="G231" i="1"/>
  <c r="G227" i="1"/>
  <c r="G220" i="1"/>
  <c r="G217" i="1"/>
  <c r="G212" i="1"/>
  <c r="G192" i="1"/>
  <c r="G188" i="1"/>
  <c r="G184" i="1"/>
  <c r="G177" i="1"/>
  <c r="G167" i="1"/>
  <c r="G163" i="1"/>
  <c r="G157" i="1"/>
  <c r="G152" i="1"/>
  <c r="G144" i="1"/>
  <c r="G124" i="1"/>
  <c r="G121" i="1"/>
  <c r="G117" i="1"/>
  <c r="G113" i="1"/>
  <c r="G110" i="1"/>
  <c r="G103" i="1"/>
  <c r="G98" i="1"/>
  <c r="G83" i="1"/>
  <c r="G75" i="1"/>
  <c r="G70" i="1"/>
  <c r="G66" i="1"/>
  <c r="G62" i="1"/>
  <c r="G54" i="1"/>
  <c r="G41" i="1"/>
  <c r="G25" i="1"/>
  <c r="G378" i="1" l="1"/>
  <c r="G194" i="1"/>
  <c r="G126" i="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L34" i="18"/>
  <c r="M23" i="2" l="1"/>
  <c r="M22" i="2"/>
  <c r="M21" i="2"/>
  <c r="M24" i="2" l="1"/>
  <c r="H190" i="1"/>
  <c r="D46" i="1"/>
  <c r="E46" i="1"/>
  <c r="F46" i="1"/>
  <c r="G46" i="1"/>
  <c r="H340" i="1"/>
  <c r="C44" i="2" l="1"/>
  <c r="D44" i="2"/>
  <c r="E44" i="2"/>
  <c r="L14" i="18" l="1"/>
  <c r="E55" i="2" l="1"/>
  <c r="D55" i="2"/>
  <c r="C55" i="2"/>
  <c r="D70" i="1" l="1"/>
  <c r="E70" i="1"/>
  <c r="F70" i="1"/>
  <c r="D327" i="1"/>
  <c r="E327" i="1"/>
  <c r="F327" i="1"/>
  <c r="F338" i="1" l="1"/>
  <c r="E338" i="1"/>
  <c r="D338" i="1"/>
  <c r="L8" i="17" l="1"/>
  <c r="J34" i="18"/>
  <c r="N34" i="18" s="1"/>
  <c r="J14" i="18"/>
  <c r="N14" i="18" s="1"/>
  <c r="H34" i="18"/>
  <c r="F34" i="18"/>
  <c r="H14" i="18"/>
  <c r="F14" i="18"/>
  <c r="J33" i="4"/>
  <c r="J48" i="4"/>
  <c r="E113" i="1"/>
  <c r="D113" i="1"/>
  <c r="H27" i="1"/>
  <c r="D19" i="1"/>
  <c r="E19" i="1"/>
  <c r="K48" i="4"/>
  <c r="L48" i="4"/>
  <c r="M48" i="4"/>
  <c r="K33" i="4"/>
  <c r="L33" i="4"/>
  <c r="M33" i="4"/>
  <c r="G47" i="2"/>
  <c r="G48" i="2"/>
  <c r="G49" i="2"/>
  <c r="G50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36" i="2"/>
  <c r="G38" i="2"/>
  <c r="D192" i="1"/>
  <c r="E192" i="1"/>
  <c r="F192" i="1"/>
  <c r="H192" i="1" s="1"/>
  <c r="D188" i="1"/>
  <c r="E188" i="1"/>
  <c r="F188" i="1"/>
  <c r="D184" i="1"/>
  <c r="E184" i="1"/>
  <c r="F184" i="1"/>
  <c r="D177" i="1"/>
  <c r="E177" i="1"/>
  <c r="F177" i="1"/>
  <c r="D167" i="1"/>
  <c r="E167" i="1"/>
  <c r="F167" i="1"/>
  <c r="D163" i="1"/>
  <c r="E163" i="1"/>
  <c r="F163" i="1"/>
  <c r="D157" i="1"/>
  <c r="E157" i="1"/>
  <c r="F157" i="1"/>
  <c r="D152" i="1"/>
  <c r="E152" i="1"/>
  <c r="F152" i="1"/>
  <c r="D144" i="1"/>
  <c r="E144" i="1"/>
  <c r="D231" i="1"/>
  <c r="E231" i="1"/>
  <c r="F231" i="1"/>
  <c r="C58" i="2"/>
  <c r="D58" i="2"/>
  <c r="E58" i="2"/>
  <c r="G13" i="1"/>
  <c r="G19" i="1" s="1"/>
  <c r="F13" i="1"/>
  <c r="F19" i="1" s="1"/>
  <c r="H32" i="1"/>
  <c r="D25" i="1"/>
  <c r="E25" i="1"/>
  <c r="F25" i="1"/>
  <c r="H397" i="1"/>
  <c r="H398" i="1"/>
  <c r="G389" i="1"/>
  <c r="G394" i="1" s="1"/>
  <c r="G476" i="1" s="1"/>
  <c r="G312" i="1"/>
  <c r="G313" i="1" s="1"/>
  <c r="G202" i="1"/>
  <c r="G207" i="1" s="1"/>
  <c r="G246" i="1" s="1"/>
  <c r="E217" i="1"/>
  <c r="F217" i="1"/>
  <c r="D121" i="1"/>
  <c r="E121" i="1"/>
  <c r="F121" i="1"/>
  <c r="H464" i="1"/>
  <c r="E449" i="1"/>
  <c r="F449" i="1"/>
  <c r="E399" i="1"/>
  <c r="F399" i="1"/>
  <c r="E403" i="1"/>
  <c r="F403" i="1"/>
  <c r="E474" i="1"/>
  <c r="F474" i="1"/>
  <c r="E467" i="1"/>
  <c r="F467" i="1"/>
  <c r="E459" i="1"/>
  <c r="F459" i="1"/>
  <c r="E413" i="1"/>
  <c r="F413" i="1"/>
  <c r="E428" i="1"/>
  <c r="F428" i="1"/>
  <c r="E422" i="1"/>
  <c r="F422" i="1"/>
  <c r="E394" i="1"/>
  <c r="E372" i="1"/>
  <c r="F372" i="1"/>
  <c r="E361" i="1"/>
  <c r="F361" i="1"/>
  <c r="E376" i="1"/>
  <c r="F376" i="1"/>
  <c r="E83" i="1"/>
  <c r="F83" i="1"/>
  <c r="E124" i="1"/>
  <c r="F124" i="1"/>
  <c r="E117" i="1"/>
  <c r="F117" i="1"/>
  <c r="F113" i="1"/>
  <c r="E98" i="1"/>
  <c r="F98" i="1"/>
  <c r="E244" i="1"/>
  <c r="F244" i="1"/>
  <c r="E234" i="1"/>
  <c r="F234" i="1"/>
  <c r="E237" i="1"/>
  <c r="F237" i="1"/>
  <c r="E241" i="1"/>
  <c r="F241" i="1"/>
  <c r="E220" i="1"/>
  <c r="F220" i="1"/>
  <c r="E227" i="1"/>
  <c r="F227" i="1"/>
  <c r="E207" i="1"/>
  <c r="G252" i="1"/>
  <c r="D288" i="1"/>
  <c r="E288" i="1"/>
  <c r="F288" i="1"/>
  <c r="E300" i="1"/>
  <c r="E294" i="1"/>
  <c r="E291" i="1"/>
  <c r="E280" i="1"/>
  <c r="E277" i="1"/>
  <c r="E270" i="1"/>
  <c r="E266" i="1"/>
  <c r="E261" i="1"/>
  <c r="E254" i="1"/>
  <c r="D348" i="1"/>
  <c r="E348" i="1"/>
  <c r="F348" i="1"/>
  <c r="H338" i="1"/>
  <c r="D332" i="1"/>
  <c r="E332" i="1"/>
  <c r="F332" i="1"/>
  <c r="D324" i="1"/>
  <c r="E324" i="1"/>
  <c r="F324" i="1"/>
  <c r="D319" i="1"/>
  <c r="E319" i="1"/>
  <c r="F319" i="1"/>
  <c r="D304" i="1"/>
  <c r="E304" i="1"/>
  <c r="F304" i="1"/>
  <c r="D316" i="1"/>
  <c r="E316" i="1"/>
  <c r="F316" i="1"/>
  <c r="D313" i="1"/>
  <c r="E313" i="1"/>
  <c r="D75" i="1"/>
  <c r="E75" i="1"/>
  <c r="F75" i="1"/>
  <c r="D66" i="1"/>
  <c r="E66" i="1"/>
  <c r="F66" i="1"/>
  <c r="D62" i="1"/>
  <c r="E62" i="1"/>
  <c r="F62" i="1"/>
  <c r="D54" i="1"/>
  <c r="E54" i="1"/>
  <c r="F54" i="1"/>
  <c r="D41" i="1"/>
  <c r="E41" i="1"/>
  <c r="F41" i="1"/>
  <c r="D37" i="1"/>
  <c r="E37" i="1"/>
  <c r="D212" i="1"/>
  <c r="E212" i="1"/>
  <c r="F212" i="1"/>
  <c r="D103" i="1"/>
  <c r="E103" i="1"/>
  <c r="F103" i="1"/>
  <c r="D110" i="1"/>
  <c r="E110" i="1"/>
  <c r="F110" i="1"/>
  <c r="F136" i="1"/>
  <c r="F144" i="1" s="1"/>
  <c r="F202" i="1"/>
  <c r="F207" i="1" s="1"/>
  <c r="F252" i="1"/>
  <c r="F261" i="1"/>
  <c r="F266" i="1"/>
  <c r="F270" i="1"/>
  <c r="F277" i="1"/>
  <c r="F280" i="1"/>
  <c r="F291" i="1"/>
  <c r="F294" i="1"/>
  <c r="F300" i="1"/>
  <c r="F312" i="1"/>
  <c r="F313" i="1" s="1"/>
  <c r="F389" i="1"/>
  <c r="F394" i="1" s="1"/>
  <c r="H4" i="1"/>
  <c r="H6" i="1"/>
  <c r="H7" i="1"/>
  <c r="H8" i="1"/>
  <c r="H9" i="1"/>
  <c r="H11" i="1"/>
  <c r="H12" i="1"/>
  <c r="H14" i="1"/>
  <c r="H15" i="1"/>
  <c r="H16" i="1"/>
  <c r="H18" i="1"/>
  <c r="H21" i="1"/>
  <c r="H22" i="1"/>
  <c r="H23" i="1"/>
  <c r="H24" i="1"/>
  <c r="H28" i="1"/>
  <c r="H29" i="1"/>
  <c r="H30" i="1"/>
  <c r="H31" i="1"/>
  <c r="H34" i="1"/>
  <c r="H36" i="1"/>
  <c r="H39" i="1"/>
  <c r="H40" i="1"/>
  <c r="H43" i="1"/>
  <c r="H44" i="1"/>
  <c r="H45" i="1"/>
  <c r="H48" i="1"/>
  <c r="H49" i="1"/>
  <c r="H50" i="1"/>
  <c r="H51" i="1"/>
  <c r="H52" i="1"/>
  <c r="H53" i="1"/>
  <c r="H56" i="1"/>
  <c r="H57" i="1"/>
  <c r="H58" i="1"/>
  <c r="H59" i="1"/>
  <c r="H60" i="1"/>
  <c r="H61" i="1"/>
  <c r="H64" i="1"/>
  <c r="H65" i="1"/>
  <c r="H68" i="1"/>
  <c r="H69" i="1"/>
  <c r="H326" i="1"/>
  <c r="H72" i="1"/>
  <c r="H73" i="1"/>
  <c r="H74" i="1"/>
  <c r="H80" i="1"/>
  <c r="H81" i="1"/>
  <c r="H82" i="1"/>
  <c r="H87" i="1"/>
  <c r="H88" i="1"/>
  <c r="H90" i="1"/>
  <c r="H91" i="1"/>
  <c r="H92" i="1"/>
  <c r="H93" i="1"/>
  <c r="H94" i="1"/>
  <c r="H96" i="1"/>
  <c r="H97" i="1"/>
  <c r="H100" i="1"/>
  <c r="H105" i="1"/>
  <c r="H101" i="1"/>
  <c r="H102" i="1"/>
  <c r="H106" i="1"/>
  <c r="H107" i="1"/>
  <c r="H108" i="1"/>
  <c r="H109" i="1"/>
  <c r="H112" i="1"/>
  <c r="H115" i="1"/>
  <c r="H116" i="1"/>
  <c r="H119" i="1"/>
  <c r="H123" i="1"/>
  <c r="H130" i="1"/>
  <c r="H133" i="1"/>
  <c r="H135" i="1"/>
  <c r="H137" i="1"/>
  <c r="H138" i="1"/>
  <c r="H139" i="1"/>
  <c r="H141" i="1"/>
  <c r="H142" i="1"/>
  <c r="H143" i="1"/>
  <c r="H148" i="1"/>
  <c r="H172" i="1"/>
  <c r="H173" i="1"/>
  <c r="H150" i="1"/>
  <c r="H147" i="1"/>
  <c r="H154" i="1"/>
  <c r="H155" i="1"/>
  <c r="H174" i="1"/>
  <c r="H159" i="1"/>
  <c r="H160" i="1"/>
  <c r="H161" i="1"/>
  <c r="H165" i="1"/>
  <c r="H166" i="1"/>
  <c r="H169" i="1"/>
  <c r="H162" i="1"/>
  <c r="H171" i="1"/>
  <c r="H181" i="1"/>
  <c r="H183" i="1"/>
  <c r="H149" i="1"/>
  <c r="H186" i="1"/>
  <c r="H187" i="1"/>
  <c r="H198" i="1"/>
  <c r="H199" i="1"/>
  <c r="H200" i="1"/>
  <c r="H201" i="1"/>
  <c r="H203" i="1"/>
  <c r="H204" i="1"/>
  <c r="H206" i="1"/>
  <c r="H210" i="1"/>
  <c r="H211" i="1"/>
  <c r="H214" i="1"/>
  <c r="H215" i="1"/>
  <c r="H216" i="1"/>
  <c r="H219" i="1"/>
  <c r="H222" i="1"/>
  <c r="H223" i="1"/>
  <c r="H224" i="1"/>
  <c r="H225" i="1"/>
  <c r="H226" i="1"/>
  <c r="H233" i="1"/>
  <c r="H236" i="1"/>
  <c r="H239" i="1"/>
  <c r="H240" i="1"/>
  <c r="H250" i="1"/>
  <c r="H256" i="1"/>
  <c r="H258" i="1"/>
  <c r="H259" i="1"/>
  <c r="H260" i="1"/>
  <c r="H263" i="1"/>
  <c r="H265" i="1"/>
  <c r="H268" i="1"/>
  <c r="H269" i="1"/>
  <c r="H272" i="1"/>
  <c r="H273" i="1"/>
  <c r="H274" i="1"/>
  <c r="H275" i="1"/>
  <c r="H276" i="1"/>
  <c r="H279" i="1"/>
  <c r="H283" i="1"/>
  <c r="H284" i="1"/>
  <c r="H285" i="1"/>
  <c r="H286" i="1"/>
  <c r="H287" i="1"/>
  <c r="H282" i="1"/>
  <c r="H290" i="1"/>
  <c r="H293" i="1"/>
  <c r="H296" i="1"/>
  <c r="H297" i="1"/>
  <c r="H298" i="1"/>
  <c r="H303" i="1"/>
  <c r="H310" i="1"/>
  <c r="H311" i="1"/>
  <c r="H315" i="1"/>
  <c r="H321" i="1"/>
  <c r="H322" i="1"/>
  <c r="H323" i="1"/>
  <c r="H330" i="1"/>
  <c r="H335" i="1"/>
  <c r="H336" i="1"/>
  <c r="H337" i="1"/>
  <c r="H342" i="1"/>
  <c r="H343" i="1"/>
  <c r="H344" i="1"/>
  <c r="H345" i="1"/>
  <c r="H346" i="1"/>
  <c r="H347" i="1"/>
  <c r="H350" i="1"/>
  <c r="H358" i="1"/>
  <c r="H359" i="1"/>
  <c r="H360" i="1"/>
  <c r="H363" i="1"/>
  <c r="H364" i="1"/>
  <c r="H365" i="1"/>
  <c r="H366" i="1"/>
  <c r="H367" i="1"/>
  <c r="H368" i="1"/>
  <c r="H369" i="1"/>
  <c r="H370" i="1"/>
  <c r="H371" i="1"/>
  <c r="H374" i="1"/>
  <c r="H375" i="1"/>
  <c r="D449" i="1"/>
  <c r="D428" i="1"/>
  <c r="D413" i="1"/>
  <c r="D403" i="1"/>
  <c r="D399" i="1"/>
  <c r="D474" i="1"/>
  <c r="H471" i="1"/>
  <c r="H469" i="1"/>
  <c r="D467" i="1"/>
  <c r="H463" i="1"/>
  <c r="H462" i="1"/>
  <c r="H461" i="1"/>
  <c r="D459" i="1"/>
  <c r="H458" i="1"/>
  <c r="H457" i="1"/>
  <c r="H456" i="1"/>
  <c r="H455" i="1"/>
  <c r="H454" i="1"/>
  <c r="H453" i="1"/>
  <c r="H452" i="1"/>
  <c r="H451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2" i="1"/>
  <c r="H431" i="1"/>
  <c r="H430" i="1"/>
  <c r="H427" i="1"/>
  <c r="H426" i="1"/>
  <c r="H425" i="1"/>
  <c r="H424" i="1"/>
  <c r="D422" i="1"/>
  <c r="H421" i="1"/>
  <c r="H420" i="1"/>
  <c r="H419" i="1"/>
  <c r="H418" i="1"/>
  <c r="H417" i="1"/>
  <c r="H416" i="1"/>
  <c r="H415" i="1"/>
  <c r="H412" i="1"/>
  <c r="H411" i="1"/>
  <c r="H410" i="1"/>
  <c r="H409" i="1"/>
  <c r="H408" i="1"/>
  <c r="H407" i="1"/>
  <c r="H406" i="1"/>
  <c r="H405" i="1"/>
  <c r="H402" i="1"/>
  <c r="H401" i="1"/>
  <c r="H396" i="1"/>
  <c r="D394" i="1"/>
  <c r="H393" i="1"/>
  <c r="H391" i="1"/>
  <c r="H390" i="1"/>
  <c r="H388" i="1"/>
  <c r="H387" i="1"/>
  <c r="H386" i="1"/>
  <c r="H385" i="1"/>
  <c r="H384" i="1"/>
  <c r="D361" i="1"/>
  <c r="D376" i="1"/>
  <c r="D372" i="1"/>
  <c r="D300" i="1"/>
  <c r="D294" i="1"/>
  <c r="D291" i="1"/>
  <c r="D280" i="1"/>
  <c r="D277" i="1"/>
  <c r="D270" i="1"/>
  <c r="D266" i="1"/>
  <c r="D261" i="1"/>
  <c r="D254" i="1"/>
  <c r="D244" i="1"/>
  <c r="D241" i="1"/>
  <c r="D237" i="1"/>
  <c r="D234" i="1"/>
  <c r="D227" i="1"/>
  <c r="D220" i="1"/>
  <c r="D217" i="1"/>
  <c r="D207" i="1"/>
  <c r="D124" i="1"/>
  <c r="D117" i="1"/>
  <c r="D98" i="1"/>
  <c r="K8" i="17"/>
  <c r="J8" i="17"/>
  <c r="I8" i="17"/>
  <c r="H8" i="17"/>
  <c r="G8" i="17"/>
  <c r="F8" i="17"/>
  <c r="E8" i="17"/>
  <c r="D8" i="17"/>
  <c r="C8" i="17"/>
  <c r="G4" i="13"/>
  <c r="I48" i="4"/>
  <c r="H48" i="4"/>
  <c r="G48" i="4"/>
  <c r="F48" i="4"/>
  <c r="E48" i="4"/>
  <c r="D48" i="4"/>
  <c r="C48" i="4"/>
  <c r="I33" i="4"/>
  <c r="H33" i="4"/>
  <c r="F33" i="4"/>
  <c r="E33" i="4"/>
  <c r="D33" i="4"/>
  <c r="C33" i="4"/>
  <c r="G30" i="4"/>
  <c r="G28" i="4"/>
  <c r="G16" i="4"/>
  <c r="G33" i="4"/>
  <c r="G3" i="13"/>
  <c r="G2" i="13"/>
  <c r="D83" i="1"/>
  <c r="J27" i="2"/>
  <c r="L8" i="2"/>
  <c r="E57" i="2"/>
  <c r="F37" i="1"/>
  <c r="N39" i="18" l="1"/>
  <c r="G253" i="1"/>
  <c r="G254" i="1"/>
  <c r="G306" i="1" s="1"/>
  <c r="G5" i="13"/>
  <c r="G35" i="1" s="1"/>
  <c r="G37" i="1" s="1"/>
  <c r="G77" i="1" s="1"/>
  <c r="G380" i="1" s="1"/>
  <c r="G478" i="1" s="1"/>
  <c r="H188" i="1"/>
  <c r="D378" i="1"/>
  <c r="F378" i="1"/>
  <c r="E378" i="1"/>
  <c r="H19" i="1"/>
  <c r="H316" i="1"/>
  <c r="H241" i="1"/>
  <c r="G58" i="2"/>
  <c r="H332" i="1"/>
  <c r="G55" i="2"/>
  <c r="K27" i="2"/>
  <c r="C57" i="2"/>
  <c r="G57" i="2" s="1"/>
  <c r="D57" i="2"/>
  <c r="H184" i="1"/>
  <c r="H62" i="1"/>
  <c r="H212" i="1"/>
  <c r="H304" i="1"/>
  <c r="H291" i="1"/>
  <c r="H280" i="1"/>
  <c r="H266" i="1"/>
  <c r="H277" i="1"/>
  <c r="H157" i="1"/>
  <c r="H41" i="1"/>
  <c r="H75" i="1"/>
  <c r="H413" i="1"/>
  <c r="H467" i="1"/>
  <c r="H234" i="1"/>
  <c r="H352" i="1"/>
  <c r="H294" i="1"/>
  <c r="H163" i="1"/>
  <c r="F39" i="18"/>
  <c r="L39" i="18"/>
  <c r="F77" i="1"/>
  <c r="E77" i="1"/>
  <c r="H324" i="1"/>
  <c r="E354" i="1"/>
  <c r="H270" i="1"/>
  <c r="H237" i="1"/>
  <c r="E126" i="1"/>
  <c r="E476" i="1"/>
  <c r="H121" i="1"/>
  <c r="D77" i="1"/>
  <c r="H66" i="1"/>
  <c r="H117" i="1"/>
  <c r="H83" i="1"/>
  <c r="H167" i="1"/>
  <c r="H54" i="1"/>
  <c r="H46" i="1"/>
  <c r="H403" i="1"/>
  <c r="H449" i="1"/>
  <c r="H202" i="1"/>
  <c r="H177" i="1"/>
  <c r="D194" i="1"/>
  <c r="H422" i="1"/>
  <c r="H110" i="1"/>
  <c r="H376" i="1"/>
  <c r="H372" i="1"/>
  <c r="F246" i="1"/>
  <c r="H288" i="1"/>
  <c r="H300" i="1"/>
  <c r="H220" i="1"/>
  <c r="H459" i="1"/>
  <c r="H25" i="1"/>
  <c r="D354" i="1"/>
  <c r="H113" i="1"/>
  <c r="D306" i="1"/>
  <c r="H428" i="1"/>
  <c r="H399" i="1"/>
  <c r="H217" i="1"/>
  <c r="H474" i="1"/>
  <c r="H152" i="1"/>
  <c r="E306" i="1"/>
  <c r="H103" i="1"/>
  <c r="E246" i="1"/>
  <c r="F476" i="1"/>
  <c r="H13" i="1"/>
  <c r="D126" i="1"/>
  <c r="H348" i="1"/>
  <c r="H227" i="1"/>
  <c r="H394" i="1"/>
  <c r="E194" i="1"/>
  <c r="H313" i="1"/>
  <c r="H207" i="1"/>
  <c r="D476" i="1"/>
  <c r="H35" i="1"/>
  <c r="D246" i="1"/>
  <c r="H261" i="1"/>
  <c r="H124" i="1"/>
  <c r="H98" i="1"/>
  <c r="H389" i="1"/>
  <c r="H39" i="18"/>
  <c r="H136" i="1"/>
  <c r="F194" i="1"/>
  <c r="H144" i="1"/>
  <c r="F126" i="1"/>
  <c r="H361" i="1"/>
  <c r="F354" i="1"/>
  <c r="F253" i="1"/>
  <c r="F254" i="1" s="1"/>
  <c r="F306" i="1" s="1"/>
  <c r="H252" i="1"/>
  <c r="H312" i="1"/>
  <c r="J39" i="18"/>
  <c r="L27" i="2" l="1"/>
  <c r="L12" i="2" s="1"/>
  <c r="H37" i="1"/>
  <c r="H77" i="1"/>
  <c r="O14" i="18"/>
  <c r="H378" i="1"/>
  <c r="H354" i="1"/>
  <c r="H246" i="1"/>
  <c r="E380" i="1"/>
  <c r="D380" i="1"/>
  <c r="F380" i="1"/>
  <c r="H126" i="1"/>
  <c r="H253" i="1"/>
  <c r="H194" i="1"/>
  <c r="H476" i="1"/>
  <c r="H254" i="1"/>
  <c r="F52" i="2" l="1"/>
  <c r="F46" i="2" s="1"/>
  <c r="F55" i="2" s="1"/>
  <c r="H306" i="1"/>
  <c r="G46" i="2" l="1"/>
  <c r="D478" i="1"/>
  <c r="E478" i="1"/>
  <c r="F478" i="1"/>
  <c r="H380" i="1"/>
  <c r="F43" i="2" l="1"/>
  <c r="F3" i="2" s="1"/>
  <c r="O39" i="18"/>
  <c r="O42" i="18" s="1"/>
  <c r="H478" i="1"/>
  <c r="F58" i="2" l="1"/>
  <c r="G3" i="2"/>
  <c r="H70" i="1"/>
  <c r="F44" i="2" l="1"/>
  <c r="G44" i="2" s="1"/>
  <c r="K11" i="2"/>
  <c r="L11" i="2" s="1"/>
  <c r="L13" i="2" s="1"/>
  <c r="L14" i="2" s="1"/>
  <c r="L15" i="2" s="1"/>
  <c r="F5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C8" authorId="0" shapeId="0" xr:uid="{52F4A4CB-AE62-439F-9FFA-16B218C34F9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Revenue Offset</t>
        </r>
      </text>
    </comment>
    <comment ref="C22" authorId="0" shapeId="0" xr:uid="{1F5B89B1-EFFD-4EC6-98F4-B1794C292DC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Includes Lodging &amp; Meals</t>
        </r>
      </text>
    </comment>
    <comment ref="C30" authorId="0" shapeId="0" xr:uid="{F4EBF435-EDD3-43C2-95DD-616FE59526B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Revenue Offset</t>
        </r>
      </text>
    </comment>
    <comment ref="C34" authorId="0" shapeId="0" xr:uid="{4F206466-4188-45D5-A2DF-09D57D8A1AA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Not connected to the Reserve Fund</t>
        </r>
      </text>
    </comment>
    <comment ref="C35" authorId="0" shapeId="0" xr:uid="{D8B54955-792A-48CE-9B5A-36C0D9CC275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48% of the Water Tank Loan
+
5% water budget
</t>
        </r>
      </text>
    </comment>
    <comment ref="C39" authorId="0" shapeId="0" xr:uid="{8C13EF45-3CE9-4C7D-961B-04956DFFF2B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Engraved Paper, Recording Paper, Recording Books.  Not connected to the Reserve Fund.</t>
        </r>
      </text>
    </comment>
    <comment ref="G43" authorId="0" shapeId="0" xr:uid="{2A8B08AB-7175-448D-959C-2127C75E845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November State Elections August State Primary
Town Meeting
</t>
        </r>
      </text>
    </comment>
    <comment ref="C65" authorId="0" shapeId="0" xr:uid="{CE56BA29-B1E8-4D17-8DC8-25F2892F82C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Copiers</t>
        </r>
      </text>
    </comment>
    <comment ref="C68" authorId="0" shapeId="0" xr:uid="{0DB96235-ECA3-41F4-B0B7-5AFC9F839C6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Revenue Offset</t>
        </r>
      </text>
    </comment>
    <comment ref="C82" authorId="0" shapeId="0" xr:uid="{21499027-FED9-402E-94E4-54645F93668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Revenue Offset</t>
        </r>
      </text>
    </comment>
    <comment ref="C101" authorId="0" shapeId="0" xr:uid="{C06AEB70-C3B7-4997-B9A3-883A5466ACD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Lodging &amp; Meals</t>
        </r>
      </text>
    </comment>
    <comment ref="F107" authorId="0" shapeId="0" xr:uid="{98FBEC05-86B8-4FEF-BF06-B1647C17BD7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Town Plan mailings</t>
        </r>
      </text>
    </comment>
    <comment ref="F109" authorId="0" shapeId="0" xr:uid="{50565C3E-9582-4191-A5B0-9AE256BFA83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Design engineering for new transportation projects.  The construction of such projects is in the Highway budget reserves.
Support Transportation Committee scoping.</t>
        </r>
      </text>
    </comment>
    <comment ref="C115" authorId="0" shapeId="0" xr:uid="{4D637316-0E8B-4A97-8BBA-F60D85FF412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CCRPC - other than transportation planning such as zoning amendment review &amp; Town Plan</t>
        </r>
      </text>
    </comment>
    <comment ref="C116" authorId="0" shapeId="0" xr:uid="{753177B2-DE34-4DD1-99CB-BB3FE15F872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Review of DRB applications</t>
        </r>
      </text>
    </comment>
    <comment ref="C147" authorId="0" shapeId="0" xr:uid="{A0E6FAF2-4EDA-4DB8-8A46-C1C5674BE8E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Includes Lodging &amp; Meals</t>
        </r>
      </text>
    </comment>
    <comment ref="C148" authorId="0" shapeId="0" xr:uid="{694E8960-07F0-41C1-90B0-4DCDEBECB9E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Separate Tasers starting FY26
Shirts
Hats
Jackets
Pants
Vests
Boots</t>
        </r>
      </text>
    </comment>
    <comment ref="C149" authorId="0" shapeId="0" xr:uid="{DF436357-AAA3-4E4D-A016-C184A0FBB9E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Firearms
Handcuffs
Duty Belts
Batons
Holsters</t>
        </r>
      </text>
    </comment>
    <comment ref="C156" authorId="0" shapeId="0" xr:uid="{BE54C256-3D9D-417E-A01E-BE2A9F1580D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Job Fairs
Videos
Advertising</t>
        </r>
      </text>
    </comment>
    <comment ref="C161" authorId="0" shapeId="0" xr:uid="{4CC8234C-1773-4A97-A3B8-DA20C0FD29A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Ammunition
Taser Cartridges
OC
Targets</t>
        </r>
      </text>
    </comment>
    <comment ref="C182" authorId="0" shapeId="0" xr:uid="{9EF330A2-8559-4555-99AF-89B8B411709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Bundle with Equipment Repair</t>
        </r>
      </text>
    </comment>
    <comment ref="C183" authorId="0" shapeId="0" xr:uid="{3C4EC90B-A04E-48BB-AEFB-63AD8C9338D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Remove Camera's</t>
        </r>
      </text>
    </comment>
    <comment ref="C186" authorId="0" shapeId="0" xr:uid="{5CF8CA84-3443-4B13-B029-D455C7C87FF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Candy
Stickers
Coffee with a Cop</t>
        </r>
      </text>
    </comment>
    <comment ref="G191" authorId="0" shapeId="0" xr:uid="{47A2E453-3D4C-4396-A192-A65A25A4C9F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offset with 100K unassigned
Tax savings from previous Version is 35K</t>
        </r>
      </text>
    </comment>
    <comment ref="G216" authorId="0" shapeId="0" xr:uid="{DFC84739-A2E6-40B7-A9F9-34EEB4A2AA3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Feds talking about eliminating the Courier Grant</t>
        </r>
      </text>
    </comment>
    <comment ref="C225" authorId="0" shapeId="0" xr:uid="{380D8A5D-8DAA-436A-82EA-BB245231531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Revenue Offset</t>
        </r>
      </text>
    </comment>
    <comment ref="G233" authorId="0" shapeId="0" xr:uid="{E36F17C5-D1E2-486C-8987-3DBDE850B6E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Moved tech services up to  contract services</t>
        </r>
      </text>
    </comment>
    <comment ref="C239" authorId="0" shapeId="0" xr:uid="{B3EDB85E-FE62-4CEF-BB8F-E5BA8CE5D03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Revenue Offset</t>
        </r>
      </text>
    </comment>
    <comment ref="C256" authorId="0" shapeId="0" xr:uid="{AA0DDA82-9E0B-4AF7-A630-C1189B3546E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Physical &amp; EKG &amp; Bloodwork</t>
        </r>
      </text>
    </comment>
    <comment ref="C264" authorId="0" shapeId="0" xr:uid="{1F854307-3A74-49B4-B008-0C2C068010DC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advertising, banners, posters, flyers</t>
        </r>
      </text>
    </comment>
    <comment ref="F279" authorId="0" shapeId="0" xr:uid="{B0B4D700-A43F-4369-8D39-B2496A2864C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Locked into the price of 5,600</t>
        </r>
      </text>
    </comment>
    <comment ref="G279" authorId="0" shapeId="0" xr:uid="{DD47442C-B3F8-4A09-A577-F4D6FFD0DEF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Shelburn dispatch 10% increase</t>
        </r>
      </text>
    </comment>
    <comment ref="F282" authorId="0" shapeId="0" xr:uid="{A930F403-0D49-4380-8E3E-DF3FC6DA645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Battery powered equipment as gas equipment needs to be replaced</t>
        </r>
      </text>
    </comment>
    <comment ref="G282" authorId="0" shapeId="0" xr:uid="{E435331C-A57F-4E1C-8549-CE040C6580C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Composite cribbing
light weight helmets
Siamese clapper valve
floatable strainer
mobile repeaters
</t>
        </r>
      </text>
    </comment>
    <comment ref="G284" authorId="0" shapeId="0" xr:uid="{7679D072-DE2A-44AC-9419-52AC1440207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 Trucks</t>
        </r>
      </text>
    </comment>
    <comment ref="F287" authorId="0" shapeId="0" xr:uid="{D9427F5A-CAAF-4B6A-ACB1-4FE748965B5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Expecting repairs on Rescue Truck due to age</t>
        </r>
      </text>
    </comment>
    <comment ref="G287" authorId="0" shapeId="0" xr:uid="{403197B3-3AA7-4653-95B5-BDE7886F547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10 year swap on Tires for 4 trucks plus "on spot" chains</t>
        </r>
      </text>
    </comment>
    <comment ref="D290" authorId="0" shapeId="0" xr:uid="{3798D0A4-58AA-4568-9E04-59E11A69748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Waterline to station</t>
        </r>
      </text>
    </comment>
    <comment ref="F290" authorId="0" shapeId="0" xr:uid="{B3873B05-FAC7-4808-B921-94E711BE144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 Ceiling fans
Insulate hot water pipes
</t>
        </r>
      </text>
    </comment>
    <comment ref="G290" authorId="0" shapeId="0" xr:uid="{11E27A78-2F5E-49C4-8D6C-277F577ACC9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New Water Line if not completed in FY27</t>
        </r>
      </text>
    </comment>
    <comment ref="G293" authorId="0" shapeId="0" xr:uid="{A2EA2916-419A-4238-A954-F34BDF3EC73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cost increase
for candy, coloring books, plastic hats</t>
        </r>
      </text>
    </comment>
    <comment ref="F296" authorId="0" shapeId="0" xr:uid="{46F0B32F-B294-452C-A724-B5C6CDB9E3AC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Final Year</t>
        </r>
      </text>
    </comment>
    <comment ref="F298" authorId="0" shapeId="0" xr:uid="{86F1FD92-7EA0-4D84-83D8-E8D35BDDAC9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Final Year</t>
        </r>
      </text>
    </comment>
    <comment ref="G302" authorId="0" shapeId="0" xr:uid="{8A7E55C0-00A2-4CAF-97F9-5703C60FD93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Fund with 20K unassigned
Savings in Taxes from previous version is 15K</t>
        </r>
      </text>
    </comment>
    <comment ref="G303" authorId="0" shapeId="0" xr:uid="{E6862CF3-E15F-49E0-96E5-045588C3024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Fund with 50K Unassigned  - shown on the Revenue Side
</t>
        </r>
      </text>
    </comment>
    <comment ref="G343" authorId="0" shapeId="0" xr:uid="{3BABEF35-FF49-4AC6-B6C4-7CFA20D6FBF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Late Application $2000</t>
        </r>
      </text>
    </comment>
    <comment ref="G345" authorId="0" shapeId="0" xr:uid="{1A2A3F89-D182-4419-8061-F8A754599CB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Application late. 400</t>
        </r>
      </text>
    </comment>
    <comment ref="C375" authorId="0" shapeId="0" xr:uid="{FFD15C84-6078-4177-9772-8B6915BCFB6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Formerly VNA</t>
        </r>
      </text>
    </comment>
    <comment ref="E386" authorId="0" shapeId="0" xr:uid="{CBF537CC-7923-4489-8A52-A16A8D38730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Plus 8,664.21 in unused Comp Time to be  paid out in November of 25</t>
        </r>
      </text>
    </comment>
    <comment ref="E397" authorId="0" shapeId="0" xr:uid="{6360AAB8-EB09-48EF-BCA0-66C9D5FCE0D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Paid for CDL training for 1 new employee
</t>
        </r>
      </text>
    </comment>
    <comment ref="G397" authorId="0" shapeId="0" xr:uid="{B80390E8-903D-41F3-ABDE-02A070C1E20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CDL school for a new employee
</t>
        </r>
      </text>
    </comment>
    <comment ref="G411" authorId="0" shapeId="0" xr:uid="{9AD2737D-9FBC-43E9-BAB7-49A89836F70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Up 10% in FY26</t>
        </r>
      </text>
    </comment>
    <comment ref="C425" authorId="0" shapeId="0" xr:uid="{FDF0027E-5501-42DF-B01D-385ADB5A3A4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Trucking
</t>
        </r>
      </text>
    </comment>
    <comment ref="G439" authorId="0" shapeId="0" xr:uid="{06AF5C7A-2138-4480-8EDE-92E17F31A38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Dependent on timeframe of receiving a new piece of equipment after it is ordered.</t>
        </r>
      </text>
    </comment>
    <comment ref="G453" authorId="0" shapeId="0" xr:uid="{B7B81712-6F39-4122-A527-1854B6DCD74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Every other year for fog lines</t>
        </r>
      </text>
    </comment>
    <comment ref="G469" authorId="0" shapeId="0" xr:uid="{E44B851B-5866-45B9-91A5-BE2A9CFD950F}">
      <text>
        <r>
          <rPr>
            <b/>
            <sz val="9"/>
            <color indexed="81"/>
            <rFont val="Tahoma"/>
            <family val="2"/>
          </rPr>
          <t xml:space="preserve">Finance:
</t>
        </r>
        <r>
          <rPr>
            <sz val="9"/>
            <color indexed="81"/>
            <rFont val="Tahoma"/>
            <family val="2"/>
          </rPr>
          <t>Fund with 250K Restricted
Tax Savings of 
85K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4" authorId="0" shapeId="0" xr:uid="{7D833E5F-153D-4627-9480-999F47807DB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Expense Offset</t>
        </r>
      </text>
    </comment>
    <comment ref="B9" authorId="0" shapeId="0" xr:uid="{A1D0C6B7-C068-4A53-BDB5-073429CEB3D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Offset on expense side</t>
        </r>
      </text>
    </comment>
    <comment ref="J11" authorId="0" shapeId="0" xr:uid="{87F10A10-0D7A-446D-B0FA-40AA3D58686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Estimate obtained from NEMRC on 12/02/25</t>
        </r>
      </text>
    </comment>
    <comment ref="B13" authorId="0" shapeId="0" xr:uid="{3E5F8E6C-9554-4020-9D43-2F835B2822D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The Towns share of current use withdrawal penalties</t>
        </r>
      </text>
    </comment>
    <comment ref="E15" authorId="0" shapeId="0" xr:uid="{DDD86556-E7F7-4D48-81B0-B76AF67E0B1C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Need RFP for audit</t>
        </r>
      </text>
    </comment>
    <comment ref="B18" authorId="0" shapeId="0" xr:uid="{8A5216F9-B68F-42E3-8DE1-7A3FCD6DD2E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Expense Offset</t>
        </r>
      </text>
    </comment>
    <comment ref="F19" authorId="0" shapeId="0" xr:uid="{F4EEC267-367C-4553-BD0D-5A6528CEAA6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75k
</t>
        </r>
      </text>
    </comment>
    <comment ref="I21" authorId="0" shapeId="0" xr:uid="{F50E12C3-3022-4D5E-83DB-0226EE0D1F5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411 # 11</t>
        </r>
      </text>
    </comment>
    <comment ref="J22" authorId="0" shapeId="0" xr:uid="{2F6B85E4-4A2F-4AB7-8782-7E15A4080D5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411 #12</t>
        </r>
      </text>
    </comment>
    <comment ref="J23" authorId="0" shapeId="0" xr:uid="{288C599C-47C8-4C42-AED8-2F81697FA42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411 #13</t>
        </r>
      </text>
    </comment>
    <comment ref="B30" authorId="0" shapeId="0" xr:uid="{BB86C531-7AD9-43AF-ABA8-61C07B99D14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Changed  from Police Receipts</t>
        </r>
      </text>
    </comment>
    <comment ref="B33" authorId="0" shapeId="0" xr:uid="{C3BD09A4-03DA-4ACE-B32F-A5F67659E7C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Offset on expense side</t>
        </r>
      </text>
    </comment>
    <comment ref="C33" authorId="0" shapeId="0" xr:uid="{5A1DF8D5-4666-454C-9DB5-239865382CC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Offset on Library Electric on Expense side</t>
        </r>
      </text>
    </comment>
    <comment ref="B35" authorId="0" shapeId="0" xr:uid="{61AB49E3-8D88-4691-BC91-18BE2D896EA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Offset on expense side</t>
        </r>
      </text>
    </comment>
    <comment ref="D35" authorId="0" shapeId="0" xr:uid="{A493151C-9455-4847-8F4E-3C3B62A0A49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$3000 was closing the library bank acct.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G4" authorId="0" shapeId="0" xr:uid="{14C6D661-0013-4643-9E1A-1592679C915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140,719 from prior year</t>
        </r>
      </text>
    </comment>
    <comment ref="H4" authorId="0" shapeId="0" xr:uid="{A8B23FBD-EE80-4559-9FF2-E0E2E5D5CB0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15,000 from prior year</t>
        </r>
      </text>
    </comment>
    <comment ref="J4" authorId="0" shapeId="0" xr:uid="{E5968440-EAD2-4151-8F53-B26DD0237D2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Budgeted 445,000 to be used from prior year</t>
        </r>
      </text>
    </comment>
    <comment ref="K4" authorId="0" shapeId="0" xr:uid="{F37C4E78-3EEB-45FA-980C-76217EF4580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500,000 from prior year</t>
        </r>
      </text>
    </comment>
    <comment ref="G6" authorId="0" shapeId="0" xr:uid="{DB65A6AA-465B-422B-AD1B-E22C6561E6A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21,005 from prior year</t>
        </r>
      </text>
    </comment>
    <comment ref="H6" authorId="0" shapeId="0" xr:uid="{BE20CA0B-D9C1-4C69-A6C7-FB7BCCFE2BB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10,000 from prior year
</t>
        </r>
      </text>
    </comment>
    <comment ref="I6" authorId="0" shapeId="0" xr:uid="{3B3C23EF-A4B8-4710-8A74-EC26933081C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Budget used 91,000 from prior year</t>
        </r>
      </text>
    </comment>
    <comment ref="J6" authorId="0" shapeId="0" xr:uid="{BFDD448E-6194-45A5-AC31-2F5265D05A8E}">
      <text>
        <r>
          <rPr>
            <b/>
            <sz val="9"/>
            <color indexed="81"/>
            <rFont val="Tahoma"/>
            <family val="2"/>
          </rPr>
          <t>Finance:
Budgeted</t>
        </r>
        <r>
          <rPr>
            <sz val="9"/>
            <color indexed="81"/>
            <rFont val="Tahoma"/>
            <family val="2"/>
          </rPr>
          <t xml:space="preserve"> 474,930  used from prior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J20" authorId="0" shapeId="0" xr:uid="{1901ED25-CD0F-4C27-BB4F-2598E448204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(Chasis)121,300
Final Due bumped up to FY26 346,447</t>
        </r>
      </text>
    </comment>
    <comment ref="L28" authorId="0" shapeId="0" xr:uid="{1C2C3CFE-B8D7-4E7B-A30F-FD7DB82E0FC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had not entered in prior year</t>
        </r>
      </text>
    </comment>
    <comment ref="L40" authorId="0" shapeId="0" xr:uid="{1B9C660F-74AA-4E7C-AE5A-2C64F22288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Postponed.  Was 245K</t>
        </r>
      </text>
    </comment>
    <comment ref="N40" authorId="0" shapeId="0" xr:uid="{421179AD-FE55-461F-8AA7-BDC1F5643CA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Increased from prior estimate of 245K New Amount is 310,000minus trade in of 50K</t>
        </r>
      </text>
    </comment>
    <comment ref="L41" authorId="0" shapeId="0" xr:uid="{70853E11-F6DC-44F3-9F66-395DA8A58DF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increased from 57,000 to 97,000</t>
        </r>
      </text>
    </comment>
    <comment ref="H43" authorId="0" shapeId="0" xr:uid="{32AF9113-C9DD-4CC9-A064-039E6F830055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upated from 53;</t>
        </r>
      </text>
    </comment>
    <comment ref="H47" authorId="0" shapeId="0" xr:uid="{7AF18E14-CA4A-41D9-A9DA-D4CFFEBDED3C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Added - was paid through budget</t>
        </r>
      </text>
    </comment>
    <comment ref="N48" authorId="0" shapeId="0" xr:uid="{208DB81A-1C5D-4391-AA98-34E9D437894A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18838 minus minus 1838</t>
        </r>
      </text>
    </comment>
    <comment ref="J49" authorId="0" shapeId="0" xr:uid="{A1A83E15-4CAD-4F13-86E4-A71877F6EB6C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paid through budget</t>
        </r>
      </text>
    </comment>
    <comment ref="J69" authorId="0" shapeId="0" xr:uid="{95EAF5AF-4DCB-4E35-A8FC-6F10537062E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Moved to FY26</t>
        </r>
      </text>
    </comment>
    <comment ref="L69" authorId="0" shapeId="0" xr:uid="{DC3E9BBD-DBCE-4F92-87F6-0BA43E7B56E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1st floor
Community Room
Hallway 2nd floor
Youth Rooms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4" authorId="0" shapeId="0" xr:uid="{4AD54B01-89F2-436F-B641-40ED1041E6A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5%</t>
        </r>
      </text>
    </comment>
    <comment ref="G4" authorId="0" shapeId="0" xr:uid="{B326C224-E1C7-492D-AD91-CDFCBCD5D19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19,934.55</t>
        </r>
      </text>
    </comment>
  </commentList>
</comments>
</file>

<file path=xl/sharedStrings.xml><?xml version="1.0" encoding="utf-8"?>
<sst xmlns="http://schemas.openxmlformats.org/spreadsheetml/2006/main" count="1115" uniqueCount="878">
  <si>
    <t>Tax Rate</t>
  </si>
  <si>
    <t>Current Fiscal Year</t>
  </si>
  <si>
    <t>Next Fiscal Year</t>
  </si>
  <si>
    <t>GF rate for tax billing purposes</t>
  </si>
  <si>
    <t>Amount To Be Raised</t>
  </si>
  <si>
    <t>Expense Budget Accounts</t>
  </si>
  <si>
    <t>Revenue Budget Accounts</t>
  </si>
  <si>
    <t>Total Highway Revenue</t>
  </si>
  <si>
    <t>Total General Fund Revenue</t>
  </si>
  <si>
    <t>(non tax revenue)</t>
  </si>
  <si>
    <t>PLANNING AND ZONING</t>
  </si>
  <si>
    <t>Administration Operations</t>
  </si>
  <si>
    <t xml:space="preserve"> </t>
  </si>
  <si>
    <t>FUND BALANCE USAGE</t>
  </si>
  <si>
    <t>FUND TRANSFERS</t>
  </si>
  <si>
    <t xml:space="preserve">Veterans  </t>
  </si>
  <si>
    <t xml:space="preserve">Veterans </t>
  </si>
  <si>
    <t>Richmond Terrace</t>
  </si>
  <si>
    <t>Tax Rate for Exemptions</t>
  </si>
  <si>
    <t>GF rate for exemptions</t>
  </si>
  <si>
    <t>Tax dollars</t>
  </si>
  <si>
    <t>Homestead $</t>
  </si>
  <si>
    <t>Non-Homestead $</t>
  </si>
  <si>
    <t>Total dollars to be raised</t>
  </si>
  <si>
    <t>Exemptions</t>
  </si>
  <si>
    <t>Rate Increase over prior year tax rate</t>
  </si>
  <si>
    <t>Percentage increase over prior year</t>
  </si>
  <si>
    <t>Tax Rate per $100</t>
  </si>
  <si>
    <t>Homestead School Rate</t>
  </si>
  <si>
    <t>Non-Homestead School Rate</t>
  </si>
  <si>
    <t>Overtime</t>
  </si>
  <si>
    <t>Chart of Account #</t>
  </si>
  <si>
    <t>10-7-10-0-10.00</t>
  </si>
  <si>
    <t xml:space="preserve">10-7-10-1-45.02 </t>
  </si>
  <si>
    <t xml:space="preserve">10-7-10-0-10.05 </t>
  </si>
  <si>
    <t>10-7-10-0-10.01</t>
  </si>
  <si>
    <t xml:space="preserve">10-7-10-0-10.30 </t>
  </si>
  <si>
    <t xml:space="preserve">10-7-10-0-11.00 </t>
  </si>
  <si>
    <t xml:space="preserve">10-7-10-0-12.00 </t>
  </si>
  <si>
    <t xml:space="preserve">10-7-10-0-15.00 </t>
  </si>
  <si>
    <t xml:space="preserve">10-7-10-0-15.01 </t>
  </si>
  <si>
    <t xml:space="preserve">10-7-10-0-15.03 </t>
  </si>
  <si>
    <t xml:space="preserve">10-7-10-0-15.04 </t>
  </si>
  <si>
    <t xml:space="preserve">10-7-10-1-42.00 </t>
  </si>
  <si>
    <t xml:space="preserve">10-7-10-0-17.00 </t>
  </si>
  <si>
    <t xml:space="preserve">10-7-10-1-27.00 </t>
  </si>
  <si>
    <t xml:space="preserve">10-7-10-1-29.00 </t>
  </si>
  <si>
    <t xml:space="preserve">10-7-10-0-10.03 </t>
  </si>
  <si>
    <t xml:space="preserve">10-7-10-1-25.03 </t>
  </si>
  <si>
    <t xml:space="preserve">10-7-10-1-20.01 </t>
  </si>
  <si>
    <t xml:space="preserve">10-7-10-1-20.00 </t>
  </si>
  <si>
    <t xml:space="preserve">10-7-10-1-22.00 </t>
  </si>
  <si>
    <t xml:space="preserve">10-7-10-1-30.00 </t>
  </si>
  <si>
    <t xml:space="preserve">10-7-10-1-21.00 </t>
  </si>
  <si>
    <t xml:space="preserve">10-7-10-1-23.00 </t>
  </si>
  <si>
    <t xml:space="preserve">10-7-10-1-24.00 </t>
  </si>
  <si>
    <t xml:space="preserve">10-7-10-1-45.00 </t>
  </si>
  <si>
    <t xml:space="preserve">10-7-10-1-45.03 </t>
  </si>
  <si>
    <t xml:space="preserve">10-7-10-1-45.05 </t>
  </si>
  <si>
    <t xml:space="preserve">10-7-10-1-45-06 </t>
  </si>
  <si>
    <t xml:space="preserve">10-7-10-2-31.00 </t>
  </si>
  <si>
    <t xml:space="preserve">10-7-10-2-32.00 </t>
  </si>
  <si>
    <t xml:space="preserve">10-7-10-2-33.00 </t>
  </si>
  <si>
    <t xml:space="preserve">10-7-10-2-34.00 </t>
  </si>
  <si>
    <t xml:space="preserve">10-7-10-2-62.00 </t>
  </si>
  <si>
    <t xml:space="preserve">10-7-10-2-62.01 </t>
  </si>
  <si>
    <t xml:space="preserve">10-7-10-3-42.01 </t>
  </si>
  <si>
    <t xml:space="preserve">10-7-10-3-43.00 </t>
  </si>
  <si>
    <t xml:space="preserve">10-7-10-3-44.00 </t>
  </si>
  <si>
    <t xml:space="preserve">10-7-10-3-46.00 </t>
  </si>
  <si>
    <t xml:space="preserve">10-7-10-3-48.00 </t>
  </si>
  <si>
    <t xml:space="preserve">10-7-10-3-48.01 </t>
  </si>
  <si>
    <t xml:space="preserve">10-7-10-3-80.00 </t>
  </si>
  <si>
    <t xml:space="preserve">10-7-10-3-80.03 </t>
  </si>
  <si>
    <t xml:space="preserve">10-8-90-5-95.03 </t>
  </si>
  <si>
    <t xml:space="preserve">10-7-10-2-43.01 </t>
  </si>
  <si>
    <t xml:space="preserve">10-7-12-1-45.00 </t>
  </si>
  <si>
    <t xml:space="preserve">10-7-12-3-47.00 </t>
  </si>
  <si>
    <t xml:space="preserve">10-7-90-1-91.00 </t>
  </si>
  <si>
    <t xml:space="preserve">10-7-15-0-10.00 </t>
  </si>
  <si>
    <t xml:space="preserve">10-7-15-0-11.00 </t>
  </si>
  <si>
    <t xml:space="preserve">10-7-15-0-12.00 </t>
  </si>
  <si>
    <t xml:space="preserve">10-7-15-0-15.00 </t>
  </si>
  <si>
    <t xml:space="preserve">10-7-15-0-15.03 </t>
  </si>
  <si>
    <t xml:space="preserve">10-7-15-1-20.00 </t>
  </si>
  <si>
    <t xml:space="preserve">10-7-15-1-21.00 </t>
  </si>
  <si>
    <t xml:space="preserve">10-7-15-1-24.00 </t>
  </si>
  <si>
    <t xml:space="preserve">10-7-15-1-27.00 </t>
  </si>
  <si>
    <t xml:space="preserve">10-7-15-1-29.00 </t>
  </si>
  <si>
    <t xml:space="preserve">10-7-15-1-42.00 </t>
  </si>
  <si>
    <t xml:space="preserve">10-7-15-1-45.00 </t>
  </si>
  <si>
    <t xml:space="preserve">10-7-15-1-43.01 </t>
  </si>
  <si>
    <t xml:space="preserve">10-8-90-5-95.08 </t>
  </si>
  <si>
    <t xml:space="preserve">10-7-20-0-10.00 </t>
  </si>
  <si>
    <t xml:space="preserve">10-7-20-0-10.06 </t>
  </si>
  <si>
    <t xml:space="preserve">10-7-20-0-10.30 </t>
  </si>
  <si>
    <t xml:space="preserve">10-7-20-0-10.99 </t>
  </si>
  <si>
    <t xml:space="preserve">10-7-20-0-11.00 </t>
  </si>
  <si>
    <t xml:space="preserve">10-7-20-0-12.00 </t>
  </si>
  <si>
    <t xml:space="preserve">10-7-20-0-15.00 </t>
  </si>
  <si>
    <t xml:space="preserve">10-7-20-0-15.01 </t>
  </si>
  <si>
    <t xml:space="preserve">10-7-20-0-15.03 </t>
  </si>
  <si>
    <t xml:space="preserve">10-7-20-0-15.04 </t>
  </si>
  <si>
    <t xml:space="preserve">10-7-20-0-10.05 </t>
  </si>
  <si>
    <t xml:space="preserve">10-7-20-0-10.04 </t>
  </si>
  <si>
    <t xml:space="preserve">10-7-20-1-16.00 </t>
  </si>
  <si>
    <t xml:space="preserve">10-7-20-1-16.01 </t>
  </si>
  <si>
    <t xml:space="preserve">10-7-20-1-20.00 </t>
  </si>
  <si>
    <t xml:space="preserve">10-7-20-1-22.00 </t>
  </si>
  <si>
    <t xml:space="preserve">10-7-20-1-22.01 </t>
  </si>
  <si>
    <t xml:space="preserve">10-7-20-1-22.02 </t>
  </si>
  <si>
    <t xml:space="preserve">10-7-20-1-27.00 </t>
  </si>
  <si>
    <t xml:space="preserve">10-7-20-1-28.00 </t>
  </si>
  <si>
    <t xml:space="preserve">10-7-20-1-29.00 </t>
  </si>
  <si>
    <t xml:space="preserve">10-7-20-1-30.00 </t>
  </si>
  <si>
    <t xml:space="preserve">10-7-20-2-20.10 </t>
  </si>
  <si>
    <t xml:space="preserve">10-7-20-3-20.00 </t>
  </si>
  <si>
    <t xml:space="preserve">10-7-20-3-35.00 </t>
  </si>
  <si>
    <t xml:space="preserve">10-7-20-5-50.00 </t>
  </si>
  <si>
    <t xml:space="preserve">10-7-20-5-52.00 </t>
  </si>
  <si>
    <t xml:space="preserve">10-7-20-5-52.19 </t>
  </si>
  <si>
    <t xml:space="preserve">10-7-20-0-90.01 </t>
  </si>
  <si>
    <t xml:space="preserve">10-7-20-5-50.01 </t>
  </si>
  <si>
    <t xml:space="preserve">10-7-35-0-10.00 </t>
  </si>
  <si>
    <t xml:space="preserve">10-7-35-0-10.30 </t>
  </si>
  <si>
    <t xml:space="preserve">10-7-35-0-11.00 </t>
  </si>
  <si>
    <t xml:space="preserve">10-7-35-0-12.00 </t>
  </si>
  <si>
    <t xml:space="preserve">10-7-35-0-15.00 </t>
  </si>
  <si>
    <t xml:space="preserve">10-7-35-0-15.03 </t>
  </si>
  <si>
    <t xml:space="preserve">10-7-35-1-20.00 </t>
  </si>
  <si>
    <t xml:space="preserve">10-7-35-1-21.00 </t>
  </si>
  <si>
    <t xml:space="preserve">10-7-35-1-22.00 </t>
  </si>
  <si>
    <t xml:space="preserve">10-7-35-1-27.00 </t>
  </si>
  <si>
    <t xml:space="preserve">10-7-35-1-29.00 </t>
  </si>
  <si>
    <t xml:space="preserve">10-7-35-1-29.01 </t>
  </si>
  <si>
    <t xml:space="preserve">10-7-35-1-30.00 </t>
  </si>
  <si>
    <t xml:space="preserve">10-7-35-2-31.00 </t>
  </si>
  <si>
    <t xml:space="preserve">10-7-35-2-32.00 </t>
  </si>
  <si>
    <t xml:space="preserve">10-7-35-2-33.00 </t>
  </si>
  <si>
    <t xml:space="preserve">10-7-35-2-62.00 </t>
  </si>
  <si>
    <t xml:space="preserve">10-7-35-3-20.01 </t>
  </si>
  <si>
    <t xml:space="preserve">10-7-35-3-45.01 </t>
  </si>
  <si>
    <t xml:space="preserve">10-7-40-0-10.00 </t>
  </si>
  <si>
    <t xml:space="preserve">10-7-40-0-11.00 </t>
  </si>
  <si>
    <t xml:space="preserve">10-7-40-1-18.00 </t>
  </si>
  <si>
    <t xml:space="preserve">10-7-40-1-27.00 </t>
  </si>
  <si>
    <t xml:space="preserve">10-7-40-1-29.00 </t>
  </si>
  <si>
    <t xml:space="preserve">10-7-40-1-30.00 </t>
  </si>
  <si>
    <t xml:space="preserve">10-7-40-1-95.00 </t>
  </si>
  <si>
    <t xml:space="preserve">10-7-40-2-31.00 </t>
  </si>
  <si>
    <t xml:space="preserve">10-7-40-2-32.00 </t>
  </si>
  <si>
    <t xml:space="preserve">10-7-40-2-33.00 </t>
  </si>
  <si>
    <t xml:space="preserve">10-7-40-2-62.00 </t>
  </si>
  <si>
    <t xml:space="preserve">10-7-40-2-30.00 </t>
  </si>
  <si>
    <t xml:space="preserve">10-7-40-5-35.01 </t>
  </si>
  <si>
    <t xml:space="preserve">10-7-40-5-35.03 </t>
  </si>
  <si>
    <t xml:space="preserve">10-7-40-5-50.00 </t>
  </si>
  <si>
    <t xml:space="preserve">10-7-40-5-51.01 </t>
  </si>
  <si>
    <t xml:space="preserve">10-7-40-5-52.00 </t>
  </si>
  <si>
    <t xml:space="preserve">10-7-40-5-52.02 </t>
  </si>
  <si>
    <t xml:space="preserve">10-7-40-5-53.01 </t>
  </si>
  <si>
    <t xml:space="preserve">10-7-40-5-55.00 </t>
  </si>
  <si>
    <t xml:space="preserve">10-7-40-5-57.00 </t>
  </si>
  <si>
    <t xml:space="preserve">10-7-40-5-80.05 </t>
  </si>
  <si>
    <t xml:space="preserve">10-7-40-5-80.06 </t>
  </si>
  <si>
    <t xml:space="preserve">10-7-90-5-90.03 </t>
  </si>
  <si>
    <t xml:space="preserve">10-7-40-5-80.03 </t>
  </si>
  <si>
    <t xml:space="preserve">10-7-90-5-93.04 </t>
  </si>
  <si>
    <t xml:space="preserve">10-7-90-5-93.00 </t>
  </si>
  <si>
    <t xml:space="preserve">10-7-60-0-10.00 </t>
  </si>
  <si>
    <t xml:space="preserve">10-7-60-0-11.00 </t>
  </si>
  <si>
    <t xml:space="preserve">10-7-60-1-42.01 </t>
  </si>
  <si>
    <t xml:space="preserve">10-7-60-2-32.00 </t>
  </si>
  <si>
    <t xml:space="preserve">10-7-60-2-33.00 </t>
  </si>
  <si>
    <t xml:space="preserve">10-7-60-2-34.00 </t>
  </si>
  <si>
    <t xml:space="preserve">10-7-60-2-62.00 </t>
  </si>
  <si>
    <t xml:space="preserve">10-7-60-2-62.01 </t>
  </si>
  <si>
    <t xml:space="preserve">10-7-60-2-62.02 </t>
  </si>
  <si>
    <t xml:space="preserve">10-7-60-3-95.00 </t>
  </si>
  <si>
    <t xml:space="preserve">10-7-60-3-95.01 </t>
  </si>
  <si>
    <t xml:space="preserve">10-8-90-5-92.22 </t>
  </si>
  <si>
    <t xml:space="preserve">10-7-90-2-92.02 </t>
  </si>
  <si>
    <t xml:space="preserve">10-8-90-5-95.01 </t>
  </si>
  <si>
    <t>10-8-90-5-95.02</t>
  </si>
  <si>
    <t xml:space="preserve">10-8-90-5-95.04 </t>
  </si>
  <si>
    <t xml:space="preserve">10-8-90-5-95.06 </t>
  </si>
  <si>
    <t xml:space="preserve">10-8-90-5-95.09 </t>
  </si>
  <si>
    <t xml:space="preserve">10-8-90-5-95.10 </t>
  </si>
  <si>
    <t xml:space="preserve">10-8-90-5-95.12 </t>
  </si>
  <si>
    <t xml:space="preserve">10-8-90-5-95.13 </t>
  </si>
  <si>
    <t xml:space="preserve">10-8-90-5-95.14 </t>
  </si>
  <si>
    <t xml:space="preserve">10-8-90-5-95.16 </t>
  </si>
  <si>
    <t xml:space="preserve">10-8-90-5-95.17 </t>
  </si>
  <si>
    <t xml:space="preserve">10-8-90-5-95.18 </t>
  </si>
  <si>
    <t xml:space="preserve">10-8-90-5-92.21 </t>
  </si>
  <si>
    <t xml:space="preserve">11-7-50-0-10.00 </t>
  </si>
  <si>
    <t xml:space="preserve">11-7-50-0-10.30 </t>
  </si>
  <si>
    <t xml:space="preserve">11-7-50-0-10.98 </t>
  </si>
  <si>
    <t xml:space="preserve">11-7-50-0-11.00 </t>
  </si>
  <si>
    <t xml:space="preserve">11-7-50-0-12.00 </t>
  </si>
  <si>
    <t xml:space="preserve">11-7-50-0-15.00 </t>
  </si>
  <si>
    <t xml:space="preserve">11-7-10-0-15.03 </t>
  </si>
  <si>
    <t xml:space="preserve">11-7-50-0-16.00 </t>
  </si>
  <si>
    <t xml:space="preserve">11-7-50-1-20.00 </t>
  </si>
  <si>
    <t xml:space="preserve">11-7-50-1-29.00 </t>
  </si>
  <si>
    <t xml:space="preserve">11-7-50-1-30.00 </t>
  </si>
  <si>
    <t xml:space="preserve">11-7-50-2-29.00 </t>
  </si>
  <si>
    <t xml:space="preserve">11-7-50-2-29.01 </t>
  </si>
  <si>
    <t>11-7-50-2-31.00</t>
  </si>
  <si>
    <t xml:space="preserve">11-7-50-2-32.00 </t>
  </si>
  <si>
    <t xml:space="preserve">11-7-50-2-33.00 </t>
  </si>
  <si>
    <t xml:space="preserve">11-7-50-2-34.00 </t>
  </si>
  <si>
    <t xml:space="preserve">11-7-50-2-62.00 </t>
  </si>
  <si>
    <t xml:space="preserve">11-7-50-3-32.01 </t>
  </si>
  <si>
    <t xml:space="preserve">11-7-50-5-35.00 </t>
  </si>
  <si>
    <t xml:space="preserve">11-7-50-5-35.01 </t>
  </si>
  <si>
    <t xml:space="preserve">11-7-50-5-50.00 </t>
  </si>
  <si>
    <t xml:space="preserve">11-7-50-5-50.02 </t>
  </si>
  <si>
    <t xml:space="preserve">11-7-50-5-52.00 </t>
  </si>
  <si>
    <t xml:space="preserve">11-7-50-5-52.01 </t>
  </si>
  <si>
    <t xml:space="preserve">11-7-50-5-52.03 </t>
  </si>
  <si>
    <t xml:space="preserve">11-7-50-5-52.04 </t>
  </si>
  <si>
    <t xml:space="preserve">11-7-50-5-52.05 </t>
  </si>
  <si>
    <t xml:space="preserve">11-7-50-5-52.06 </t>
  </si>
  <si>
    <t xml:space="preserve">11-7-50-5-52.07 </t>
  </si>
  <si>
    <t xml:space="preserve">11-7-50-5-52.08 </t>
  </si>
  <si>
    <t xml:space="preserve">11-7-50-5-52.09 </t>
  </si>
  <si>
    <t xml:space="preserve">11-7-50-5-52.10 </t>
  </si>
  <si>
    <t xml:space="preserve">11-7-50-5-52.18 </t>
  </si>
  <si>
    <t xml:space="preserve">11-7-50-5-52.19 </t>
  </si>
  <si>
    <t xml:space="preserve">11-7-50-5-53.00 </t>
  </si>
  <si>
    <t xml:space="preserve">11-7-50-6-45.18 </t>
  </si>
  <si>
    <t xml:space="preserve">11-7-50-6-46.00 </t>
  </si>
  <si>
    <t xml:space="preserve">11-7-50-6-57.00 </t>
  </si>
  <si>
    <t xml:space="preserve">11-7-50-6-57.01 </t>
  </si>
  <si>
    <t xml:space="preserve">11-7-50-6-57.03 </t>
  </si>
  <si>
    <t xml:space="preserve">11-7-50-6-57.04 </t>
  </si>
  <si>
    <t xml:space="preserve">11-7-50-6-57.19 </t>
  </si>
  <si>
    <t xml:space="preserve">11-7-50-6-60.00 </t>
  </si>
  <si>
    <t xml:space="preserve">11-7-50-6-60.01 </t>
  </si>
  <si>
    <t xml:space="preserve">11-7-50-6-60.19 </t>
  </si>
  <si>
    <t xml:space="preserve">11-7-50-6-62.02 </t>
  </si>
  <si>
    <t xml:space="preserve">11-7-50-6-63.00 </t>
  </si>
  <si>
    <t xml:space="preserve">11-7-50-6-63.02 </t>
  </si>
  <si>
    <t xml:space="preserve">11-7-50-6-63.03 </t>
  </si>
  <si>
    <t xml:space="preserve">11-7-50-6-64.00 </t>
  </si>
  <si>
    <t xml:space="preserve">11-7-50-6-60.03 </t>
  </si>
  <si>
    <t xml:space="preserve">11-7-50-6-60.05 </t>
  </si>
  <si>
    <t xml:space="preserve">11-7-50-6-60.06 </t>
  </si>
  <si>
    <t xml:space="preserve">11-7-50-6-64.01 </t>
  </si>
  <si>
    <t xml:space="preserve">11-7-50-6-64.02 </t>
  </si>
  <si>
    <t xml:space="preserve">11-7-90-2-90.11 </t>
  </si>
  <si>
    <t>11-7-90-2-90.13</t>
  </si>
  <si>
    <t xml:space="preserve">11-7-90-5-90.15 </t>
  </si>
  <si>
    <t xml:space="preserve">11-7-90-5-90.45 </t>
  </si>
  <si>
    <t xml:space="preserve">11-7-90-5-93.01 </t>
  </si>
  <si>
    <t xml:space="preserve">11-7-90-5-93.02 </t>
  </si>
  <si>
    <t xml:space="preserve">11-7-90-5-93.03 </t>
  </si>
  <si>
    <t xml:space="preserve">11-7-90-5-93.04 </t>
  </si>
  <si>
    <t>Selectboard</t>
  </si>
  <si>
    <t>Delinquent Tax Collector</t>
  </si>
  <si>
    <t>Telephone/Internet</t>
  </si>
  <si>
    <t>Heat</t>
  </si>
  <si>
    <t>Electric</t>
  </si>
  <si>
    <t>Electric Vehicle Charging Station</t>
  </si>
  <si>
    <t>Water and Sewer</t>
  </si>
  <si>
    <t>Trash removal</t>
  </si>
  <si>
    <t>Building maintenance</t>
  </si>
  <si>
    <t>Legal</t>
  </si>
  <si>
    <t>Engineering Review</t>
  </si>
  <si>
    <t>General/PACIF Insurance</t>
  </si>
  <si>
    <t>Flags</t>
  </si>
  <si>
    <t>Salaries</t>
  </si>
  <si>
    <t>Transportation Planning</t>
  </si>
  <si>
    <t>On-call hours</t>
  </si>
  <si>
    <t>Social Security/Medicare</t>
  </si>
  <si>
    <t>Body Cameras</t>
  </si>
  <si>
    <t>Travel</t>
  </si>
  <si>
    <t>Postage</t>
  </si>
  <si>
    <t>Electricity</t>
  </si>
  <si>
    <t>Books</t>
  </si>
  <si>
    <t>Programs</t>
  </si>
  <si>
    <t>Medical</t>
  </si>
  <si>
    <t>Public relations</t>
  </si>
  <si>
    <t>Radio dispatch</t>
  </si>
  <si>
    <t>Pump testing</t>
  </si>
  <si>
    <t>Hose testing</t>
  </si>
  <si>
    <t>Supplies</t>
  </si>
  <si>
    <t>Equipment purchase</t>
  </si>
  <si>
    <t>2005  Engine bond</t>
  </si>
  <si>
    <t>2005 Engine Interest</t>
  </si>
  <si>
    <t>Park maintenance</t>
  </si>
  <si>
    <t>Trails maintenance</t>
  </si>
  <si>
    <t>VT Family Network</t>
  </si>
  <si>
    <t>Age Well</t>
  </si>
  <si>
    <t>Richmond Community Band</t>
  </si>
  <si>
    <t>Richmond Rescue</t>
  </si>
  <si>
    <t>VT Center for Independent Living</t>
  </si>
  <si>
    <t>Our Community Cares Camp (OCCC)</t>
  </si>
  <si>
    <t>Committee on Temporary Shelter (COTS)</t>
  </si>
  <si>
    <t>Lake Iroquois Association</t>
  </si>
  <si>
    <t>Uniforms</t>
  </si>
  <si>
    <t>General Insure/VLCT PACIF</t>
  </si>
  <si>
    <t>Radio</t>
  </si>
  <si>
    <t>Diesel fuel</t>
  </si>
  <si>
    <t>Winter maintenance attachments</t>
  </si>
  <si>
    <t>Tire chains</t>
  </si>
  <si>
    <t>Tires</t>
  </si>
  <si>
    <t>Equipment rental</t>
  </si>
  <si>
    <t>Engineers/Consultants - roads</t>
  </si>
  <si>
    <t>Cutting edges</t>
  </si>
  <si>
    <t>Equip. rental wood chip</t>
  </si>
  <si>
    <t>Chloride</t>
  </si>
  <si>
    <t>Signs</t>
  </si>
  <si>
    <t>Culverts</t>
  </si>
  <si>
    <t>Salt</t>
  </si>
  <si>
    <t>Sand</t>
  </si>
  <si>
    <t>Fleet maintenance</t>
  </si>
  <si>
    <t>Lake Iroquois Recreation District</t>
  </si>
  <si>
    <t>Electricity - Garage</t>
  </si>
  <si>
    <t>Electricity - Street lights</t>
  </si>
  <si>
    <t>Repair -  Grader</t>
  </si>
  <si>
    <t xml:space="preserve">Repair - Loader </t>
  </si>
  <si>
    <t xml:space="preserve">Repair - Excavator </t>
  </si>
  <si>
    <t>Repair - Roadside mower</t>
  </si>
  <si>
    <t>Repair - Utility vehicle</t>
  </si>
  <si>
    <t>Repair - Tractor</t>
  </si>
  <si>
    <t xml:space="preserve">Repair - Dump Truck Fleet </t>
  </si>
  <si>
    <t>Repair - Pickup Truck Fleet</t>
  </si>
  <si>
    <t>10-6-10-1-20.05</t>
  </si>
  <si>
    <t>10-6-10-1-21.01</t>
  </si>
  <si>
    <t xml:space="preserve">10-6-10-1-21.03 </t>
  </si>
  <si>
    <t xml:space="preserve">10-6-10-1-40.05 </t>
  </si>
  <si>
    <t xml:space="preserve">10-6-10-3-11.10 </t>
  </si>
  <si>
    <t>10-6-10-3-11.11</t>
  </si>
  <si>
    <t>10-6-10-3-30.10</t>
  </si>
  <si>
    <t xml:space="preserve">10-6-10-3-30.12 </t>
  </si>
  <si>
    <t xml:space="preserve">10-6-10-3-30.13 </t>
  </si>
  <si>
    <t xml:space="preserve">10-6-10-3-30.14 </t>
  </si>
  <si>
    <t xml:space="preserve">10-6-10-3-30.15 </t>
  </si>
  <si>
    <t xml:space="preserve">10-6-10-2-62.00 </t>
  </si>
  <si>
    <t>10-6-20-2-01.10</t>
  </si>
  <si>
    <t xml:space="preserve">10-6-20-2-02.10 </t>
  </si>
  <si>
    <t xml:space="preserve">10-6-20-2-04.00 </t>
  </si>
  <si>
    <t xml:space="preserve">10-6-20-2-20.11 </t>
  </si>
  <si>
    <t xml:space="preserve">10-6-35-3-00.10 </t>
  </si>
  <si>
    <t>10-6-60-6-00.10</t>
  </si>
  <si>
    <t>11-6-01-1-01.10</t>
  </si>
  <si>
    <t>11-6-02-2-05.10</t>
  </si>
  <si>
    <t>11-6-50-0-01.10</t>
  </si>
  <si>
    <t>11-6-50-0-01.12</t>
  </si>
  <si>
    <t>11-6-50-0-01.11</t>
  </si>
  <si>
    <t>10-6-01-1-01.10</t>
  </si>
  <si>
    <t>PROPERTY TAX REVENUE</t>
  </si>
  <si>
    <t>10-6-01-1-01.12</t>
  </si>
  <si>
    <t>10-6-01-1-01.13</t>
  </si>
  <si>
    <t>10-6-01-1-01.14</t>
  </si>
  <si>
    <t>10-6-01-1-01.19</t>
  </si>
  <si>
    <t>10-6-01-1-01.17</t>
  </si>
  <si>
    <t>10-6-02-2-10.10</t>
  </si>
  <si>
    <t>10-6-02-2-10.12</t>
  </si>
  <si>
    <t>10-6-02-2-10.13</t>
  </si>
  <si>
    <t>10-6-02-2-10.14</t>
  </si>
  <si>
    <t>10-6-10-1-01.11</t>
  </si>
  <si>
    <t xml:space="preserve">10-6-10-1-20.01 </t>
  </si>
  <si>
    <t>Delinquent tax penalty</t>
  </si>
  <si>
    <t>Delinquent tax interest</t>
  </si>
  <si>
    <t>Current taxes - interest</t>
  </si>
  <si>
    <t>Education fee retained</t>
  </si>
  <si>
    <t>State PILOT funds</t>
  </si>
  <si>
    <t>Act 60 Reappraisal grant</t>
  </si>
  <si>
    <t>Equalization grant</t>
  </si>
  <si>
    <t>Railroad tax</t>
  </si>
  <si>
    <t>Current Use/Hold Harmless program</t>
  </si>
  <si>
    <t>Zoning permits/hearing fees</t>
  </si>
  <si>
    <t>Water/Sewer admin. reimbursement</t>
  </si>
  <si>
    <t>Water/Sewer audit reimbursement</t>
  </si>
  <si>
    <t>Town Center rent - utilities reimbursement</t>
  </si>
  <si>
    <t>Town Center rent - insurance reimbursement</t>
  </si>
  <si>
    <t>Beverage licenses</t>
  </si>
  <si>
    <t>Dog licenses</t>
  </si>
  <si>
    <t>Recording fees</t>
  </si>
  <si>
    <t>Vault time &amp; copies</t>
  </si>
  <si>
    <t>Certified copies</t>
  </si>
  <si>
    <t>Marriage licenses</t>
  </si>
  <si>
    <t>Current year property tax</t>
  </si>
  <si>
    <t>Highway state aid</t>
  </si>
  <si>
    <t>Overweight permits</t>
  </si>
  <si>
    <t>Public right of way permits</t>
  </si>
  <si>
    <t>Access permits</t>
  </si>
  <si>
    <t>Greater Burlington Industrial Corp. (GBIC)</t>
  </si>
  <si>
    <t>Mount Mansfield Community TV (MMCTV)</t>
  </si>
  <si>
    <t>Chittenden Unit for Special Investigations</t>
  </si>
  <si>
    <t xml:space="preserve">10-8-90-5-95.20 </t>
  </si>
  <si>
    <t>Engineering</t>
  </si>
  <si>
    <t>Cruiser Fuel:  Gas</t>
  </si>
  <si>
    <t>Contracted Grounds Maintenance</t>
  </si>
  <si>
    <t>10-7-10-1-45.07</t>
  </si>
  <si>
    <t>10-7-10-1-45-08</t>
  </si>
  <si>
    <t>10-7-15-0-10.01</t>
  </si>
  <si>
    <t>10-7-15-1-20.01</t>
  </si>
  <si>
    <t>10-7-15-3-43.02</t>
  </si>
  <si>
    <t>Richmond Farmers Market</t>
  </si>
  <si>
    <t>Vehicle registration Fees</t>
  </si>
  <si>
    <t>Cruiser Fuel:  Electric</t>
  </si>
  <si>
    <t>Building Maintenance (routine)</t>
  </si>
  <si>
    <t>10-8-90-5-95.21</t>
  </si>
  <si>
    <t>2020 FY20 Dump Truck #2 interest</t>
  </si>
  <si>
    <t>Internship Stipend</t>
  </si>
  <si>
    <t>Turning Point Center of Chittenden County</t>
  </si>
  <si>
    <t>FY23</t>
  </si>
  <si>
    <t>Total</t>
  </si>
  <si>
    <t>RESERVE ACCOUNTS</t>
  </si>
  <si>
    <t>FY18</t>
  </si>
  <si>
    <t>FY19</t>
  </si>
  <si>
    <t>FY20</t>
  </si>
  <si>
    <t>FY21</t>
  </si>
  <si>
    <t>ARPA</t>
  </si>
  <si>
    <t>PZ Legal Reserve</t>
  </si>
  <si>
    <t>Fire Safety Equip &amp; Gear</t>
  </si>
  <si>
    <t>Conservation Commission</t>
  </si>
  <si>
    <t>Police</t>
  </si>
  <si>
    <t>Library</t>
  </si>
  <si>
    <t>Fire Dept. impact Fees</t>
  </si>
  <si>
    <t>Highway Bridge &amp; Culvert</t>
  </si>
  <si>
    <t>Lister Education</t>
  </si>
  <si>
    <t>Highway Guardrails</t>
  </si>
  <si>
    <t>Reappraisal</t>
  </si>
  <si>
    <t>Records Restoration</t>
  </si>
  <si>
    <t>Railroad St.</t>
  </si>
  <si>
    <t>Tree Replacement</t>
  </si>
  <si>
    <t>Andrews Community Forrest</t>
  </si>
  <si>
    <t>Fire Dept (donations)</t>
  </si>
  <si>
    <t>Recreation Path</t>
  </si>
  <si>
    <t>Soccer</t>
  </si>
  <si>
    <t>Tennis</t>
  </si>
  <si>
    <t>Cemetery</t>
  </si>
  <si>
    <t>10-7-60-3-95.04</t>
  </si>
  <si>
    <t>10-7-15-0-15.04</t>
  </si>
  <si>
    <t>Maintenance - General</t>
  </si>
  <si>
    <t>Fire Dept.</t>
  </si>
  <si>
    <t xml:space="preserve">Highway Capital </t>
  </si>
  <si>
    <t>Fire</t>
  </si>
  <si>
    <t>10-6-35-2-32.00</t>
  </si>
  <si>
    <t>Highway</t>
  </si>
  <si>
    <t>Capital Reserve</t>
  </si>
  <si>
    <t>Safety Equipment reserve</t>
  </si>
  <si>
    <t>Airpacks</t>
  </si>
  <si>
    <t>Air Tanks</t>
  </si>
  <si>
    <t>Turnout Gear</t>
  </si>
  <si>
    <t>New Sidewalk Reserve</t>
  </si>
  <si>
    <t>Bridge &amp; Culvert Reserve</t>
  </si>
  <si>
    <t>Guardrail Reserve</t>
  </si>
  <si>
    <t>July 4th / Fireworks</t>
  </si>
  <si>
    <t>Town Center rent - building maintenance</t>
  </si>
  <si>
    <t>10-8-90-5-95.22</t>
  </si>
  <si>
    <t>Traffic Calming measures</t>
  </si>
  <si>
    <t>11-7-50-6-63.04</t>
  </si>
  <si>
    <t>Bridge Street Phase 1 Planning</t>
  </si>
  <si>
    <t>HIGHWAY</t>
  </si>
  <si>
    <t>Net Interest on General Checking Account</t>
  </si>
  <si>
    <t>Cannabis Fees</t>
  </si>
  <si>
    <t>10-6-10-3-30.18</t>
  </si>
  <si>
    <t>Budget FY25</t>
  </si>
  <si>
    <t>Budget FY 2025</t>
  </si>
  <si>
    <t xml:space="preserve">FY22 </t>
  </si>
  <si>
    <t>CAPITAL PROJECT FUNDS</t>
  </si>
  <si>
    <t>SPECIAL REVENUE FUNDS</t>
  </si>
  <si>
    <t xml:space="preserve">Adam Muller Flag </t>
  </si>
  <si>
    <t>TOTAL RESERVES IN GENERAL CHECKING</t>
  </si>
  <si>
    <t>SEPARATE BANKING ACCOUNTS</t>
  </si>
  <si>
    <t>TOTAL RESERVES IN SEPARATE ACCOUNTS</t>
  </si>
  <si>
    <t>2018 Engine principal #3</t>
  </si>
  <si>
    <t>2018 Engine interest #3</t>
  </si>
  <si>
    <t>FY24 Reserve Expenditures</t>
  </si>
  <si>
    <t>FY25 Reserve Expenditures</t>
  </si>
  <si>
    <t>LIBRARY</t>
  </si>
  <si>
    <t>Halloween on the Green</t>
  </si>
  <si>
    <t>Hope Works</t>
  </si>
  <si>
    <t xml:space="preserve">Repair - Sidewalk plow </t>
  </si>
  <si>
    <t>FY24</t>
  </si>
  <si>
    <t>Audit Shows</t>
  </si>
  <si>
    <t>Flooring</t>
  </si>
  <si>
    <t>Western Gateway</t>
  </si>
  <si>
    <t>Scoping</t>
  </si>
  <si>
    <t>Thompson Road, Huntington, Cochran</t>
  </si>
  <si>
    <t>Bonus</t>
  </si>
  <si>
    <t>10-7-20-3-95.21</t>
  </si>
  <si>
    <t>FY25</t>
  </si>
  <si>
    <t>10-7-35-3-20.02</t>
  </si>
  <si>
    <t>10-6-35-3-20.02</t>
  </si>
  <si>
    <t>10-7-35-0-10.01</t>
  </si>
  <si>
    <t>10-7-20-0-10.07</t>
  </si>
  <si>
    <t>11-7-50-0-10.02</t>
  </si>
  <si>
    <t xml:space="preserve">11-7-90-5-90.44 </t>
  </si>
  <si>
    <t>10-7-15-1-20.02</t>
  </si>
  <si>
    <t>Cell Phones</t>
  </si>
  <si>
    <t>10-7-10-1-30.01</t>
  </si>
  <si>
    <t>Special Services Transportation Agency (SSTA)</t>
  </si>
  <si>
    <t>CONTRACTED - Social Services</t>
  </si>
  <si>
    <t>10-7-60-2-62.03</t>
  </si>
  <si>
    <t>Williston Community Justice Center</t>
  </si>
  <si>
    <t>Regional Planning Dues CCRPC</t>
  </si>
  <si>
    <t>10-7-20-5-50.02</t>
  </si>
  <si>
    <t>10-7-20-4-00.00</t>
  </si>
  <si>
    <t>Camel's Hump Little League Field</t>
  </si>
  <si>
    <t>10-7-60-3-95.05</t>
  </si>
  <si>
    <t>10-7-60-3-95.06</t>
  </si>
  <si>
    <t>10-8-90-5-95.31</t>
  </si>
  <si>
    <t>Contract Services Chief of Police</t>
  </si>
  <si>
    <t>Community outreach -  Howard Center</t>
  </si>
  <si>
    <t>10-6-00-0-00.02</t>
  </si>
  <si>
    <t>Community Well being - transfer from fund 14 Opioid Reserve</t>
  </si>
  <si>
    <t>11-7-90-5-93.05</t>
  </si>
  <si>
    <t>10-7-20-1-30.01</t>
  </si>
  <si>
    <t>10-7-40-1-30.01</t>
  </si>
  <si>
    <t>11-7-50-1-30-01</t>
  </si>
  <si>
    <t>10-7-15-3-43.01</t>
  </si>
  <si>
    <t>Budget FY26</t>
  </si>
  <si>
    <t>Budget FY 2026</t>
  </si>
  <si>
    <t>10-6-02-2-10.18</t>
  </si>
  <si>
    <t>Land Use Change Penalties</t>
  </si>
  <si>
    <t>10-7-20-1-22.04</t>
  </si>
  <si>
    <t>Library Non Resident Fees</t>
  </si>
  <si>
    <t>Library Electric Vehicle Charging Station</t>
  </si>
  <si>
    <t>PD Uniform traffic tickets</t>
  </si>
  <si>
    <t>PD short term contracts</t>
  </si>
  <si>
    <t>PD local fines</t>
  </si>
  <si>
    <t>Recreation Field use fees</t>
  </si>
  <si>
    <t>FY 2025 - 2026</t>
  </si>
  <si>
    <t>Administration Bonus</t>
  </si>
  <si>
    <t>Tank loan</t>
  </si>
  <si>
    <t>Gap loan</t>
  </si>
  <si>
    <t>Total Water Budget</t>
  </si>
  <si>
    <t>Water Budget - Fire Protection Calculation FY26</t>
  </si>
  <si>
    <t>Health Insurance HSA</t>
  </si>
  <si>
    <t>LUND</t>
  </si>
  <si>
    <t>DONATIONS - Social Services - Voted</t>
  </si>
  <si>
    <t>DONATIONS - Health Services - Not Voted</t>
  </si>
  <si>
    <t>FY26 Reserve Expenditures</t>
  </si>
  <si>
    <t>Dump Truck #4</t>
  </si>
  <si>
    <t>Pickup Truck with plow #5</t>
  </si>
  <si>
    <t>Pickup Truck with plow #7</t>
  </si>
  <si>
    <t>Cancelled</t>
  </si>
  <si>
    <t>Town Center Fund</t>
  </si>
  <si>
    <t>10-7-35-2-32.01</t>
  </si>
  <si>
    <t>10-7-20-0-15.06</t>
  </si>
  <si>
    <t>10-7-20-1-16.02</t>
  </si>
  <si>
    <t>10-7-20-3-20.02</t>
  </si>
  <si>
    <t>10-7-10-0-11.01</t>
  </si>
  <si>
    <t>Child Care Contribution Tax</t>
  </si>
  <si>
    <t>10-7-15-0-11.01</t>
  </si>
  <si>
    <t>10-7-20-0-11-.01</t>
  </si>
  <si>
    <t>10-7-40-0-11.01</t>
  </si>
  <si>
    <t>10-7-60-0-11.01</t>
  </si>
  <si>
    <t>10-7-35-0-11.01</t>
  </si>
  <si>
    <t>11-7-50-0-11.02</t>
  </si>
  <si>
    <t>11-0-00-0-00.00</t>
  </si>
  <si>
    <t>Sidewalk Reserve</t>
  </si>
  <si>
    <t>Fiduciary Funds</t>
  </si>
  <si>
    <t>14  Opioid</t>
  </si>
  <si>
    <t>31 Edmunds</t>
  </si>
  <si>
    <t>32 Shonyon A</t>
  </si>
  <si>
    <t>33 Shonyon B</t>
  </si>
  <si>
    <t>35 Technical Review/Engineering Fees</t>
  </si>
  <si>
    <t>49 July 4th Celebration</t>
  </si>
  <si>
    <t>Library (revenue/donations) Account Closed</t>
  </si>
  <si>
    <t>10-7-15-0-15.01</t>
  </si>
  <si>
    <t>Special Projects Reserve</t>
  </si>
  <si>
    <t>Police K-9</t>
  </si>
  <si>
    <t>UNNASSIGNED FUNDS PAST YEARS</t>
  </si>
  <si>
    <t>FY16</t>
  </si>
  <si>
    <t>FY17</t>
  </si>
  <si>
    <t>FY22</t>
  </si>
  <si>
    <t>Audit showed</t>
  </si>
  <si>
    <t>10-7-40-5-60.01</t>
  </si>
  <si>
    <t>10-7-40-1-30.02</t>
  </si>
  <si>
    <t>Budget Amount for Voter Approval</t>
  </si>
  <si>
    <t>STAFF RELATED</t>
  </si>
  <si>
    <t>ADMINSTRATVE</t>
  </si>
  <si>
    <t>SUPPLIES</t>
  </si>
  <si>
    <t>UTILITIES</t>
  </si>
  <si>
    <t>CONTRACTED SERVICES</t>
  </si>
  <si>
    <t>BUILDING &amp; INFRASTRUCTURE REPAIRS &amp; MAINTENANCE</t>
  </si>
  <si>
    <t>DEBT</t>
  </si>
  <si>
    <t>RESERVES</t>
  </si>
  <si>
    <t xml:space="preserve">TOWN ADMINISTRATION </t>
  </si>
  <si>
    <t>Animal Control Officer</t>
  </si>
  <si>
    <t>Municipal Retirement</t>
  </si>
  <si>
    <t>Dental Insurance</t>
  </si>
  <si>
    <t>Health Insurance</t>
  </si>
  <si>
    <t>PAYROLL</t>
  </si>
  <si>
    <t>TOTAL</t>
  </si>
  <si>
    <t>ADMINISTRATVE</t>
  </si>
  <si>
    <t>ELECTION &amp; ANNUAL MEETING EXPENSES</t>
  </si>
  <si>
    <t>COMMUNITY SERVICES</t>
  </si>
  <si>
    <t xml:space="preserve">ASSESSORS </t>
  </si>
  <si>
    <t>Contract Assessing Services</t>
  </si>
  <si>
    <t>Health Insurance Opt Out</t>
  </si>
  <si>
    <t>CONTRACTED ADMINISTRATIVE SERVICES</t>
  </si>
  <si>
    <t xml:space="preserve">Travel </t>
  </si>
  <si>
    <t>ADMINISTRATIVE</t>
  </si>
  <si>
    <t>CONTRACT SERVICES</t>
  </si>
  <si>
    <t>TOTAL ASSESSORS EXPENSES</t>
  </si>
  <si>
    <t>Dental</t>
  </si>
  <si>
    <t>COMMUNITY RELATIONS</t>
  </si>
  <si>
    <t>EQUIPMENT PURCHASES (UNDER 5K), REPAIRS, MAINTENANCE</t>
  </si>
  <si>
    <t>TOTAL LIBRARY EXPENSES</t>
  </si>
  <si>
    <t>Rubbish removal</t>
  </si>
  <si>
    <t>TOTALS</t>
  </si>
  <si>
    <t>TOTAL CONTRACTED SERVICES &amp; DONATIONS</t>
  </si>
  <si>
    <t xml:space="preserve">Bonus - </t>
  </si>
  <si>
    <t>Street Sweeping</t>
  </si>
  <si>
    <t>Crosswalks Illuminated light</t>
  </si>
  <si>
    <t>Paved Roads  - Paved Roads</t>
  </si>
  <si>
    <t>Jericho Road principal (20 years, final payment FY32)</t>
  </si>
  <si>
    <t xml:space="preserve">Jericho Road Interest </t>
  </si>
  <si>
    <t>Project AR1-058 4a Millet storm water (19 years, final payment FY32)</t>
  </si>
  <si>
    <t>2020 FY20 Dump Truck  #2 principal (final payment FY25)</t>
  </si>
  <si>
    <t>Budget FY 2027</t>
  </si>
  <si>
    <t>FY 26/27 % CHANGE</t>
  </si>
  <si>
    <t>Actual FY 2025</t>
  </si>
  <si>
    <t>Tasers</t>
  </si>
  <si>
    <t>EQUIPMENT PURCHASES (UNDER 5K), REPAIARS, MAINTENANCE</t>
  </si>
  <si>
    <t>Dues/Certifications/Licenses</t>
  </si>
  <si>
    <t>10-7-20-1-22.05</t>
  </si>
  <si>
    <t>Office Equipment (non contract)</t>
  </si>
  <si>
    <t>Actual FY25</t>
  </si>
  <si>
    <t>10-7-20-1-22.03</t>
  </si>
  <si>
    <t>Contract Services Patrol</t>
  </si>
  <si>
    <t>Budget FY27</t>
  </si>
  <si>
    <t>Repair - Radio</t>
  </si>
  <si>
    <t>Travel (mileage) as long as we keep take home cars</t>
  </si>
  <si>
    <t>CONTRACTS/LEASES</t>
  </si>
  <si>
    <t>Security Camaras for Police Department</t>
  </si>
  <si>
    <t>Library System Software</t>
  </si>
  <si>
    <t>Technology Equipment</t>
  </si>
  <si>
    <t>Patching for potholes</t>
  </si>
  <si>
    <t>Salary Custodial</t>
  </si>
  <si>
    <t>FY 26/27   % Change</t>
  </si>
  <si>
    <t>Tax Rate Estimate FY2027</t>
  </si>
  <si>
    <t>FY 2026 - 2027</t>
  </si>
  <si>
    <t>Town rate/SB Approved 07/07/25</t>
  </si>
  <si>
    <t>FY26 Additions</t>
  </si>
  <si>
    <t>FY26 Deductions</t>
  </si>
  <si>
    <t>FY26 Balance 10-16-25</t>
  </si>
  <si>
    <t xml:space="preserve">  PFAS </t>
  </si>
  <si>
    <t>New Transportation Infrastructure</t>
  </si>
  <si>
    <t>Estimated Amount to be raised from FY27 Property Taxes to support Exemptions</t>
  </si>
  <si>
    <t>DRAFT Audit Shows</t>
  </si>
  <si>
    <t>UNASSIGNED FUNDS CURRENT YEAR</t>
  </si>
  <si>
    <t>FY26</t>
  </si>
  <si>
    <t>BALANCE SHEET DATA</t>
  </si>
  <si>
    <t>Projected Changes</t>
  </si>
  <si>
    <t>Balance Predicted</t>
  </si>
  <si>
    <t>Per Policy 15% should be on hand</t>
  </si>
  <si>
    <t>Restricted - Highway only</t>
  </si>
  <si>
    <t>Sub Total</t>
  </si>
  <si>
    <t>Restricted Funds Over/Under 15% of Highway Budget</t>
  </si>
  <si>
    <t>Unassigned Funds - General</t>
  </si>
  <si>
    <t>Unassigned Funds Over/Under 15% of Non-Highway Budget</t>
  </si>
  <si>
    <t>Over</t>
  </si>
  <si>
    <t>Combined Restricted and Unassigned Funds</t>
  </si>
  <si>
    <t>FY27</t>
  </si>
  <si>
    <t>Restricted Funds</t>
  </si>
  <si>
    <t>Unassigned Funds</t>
  </si>
  <si>
    <t>Pickle Ball Court</t>
  </si>
  <si>
    <t>Planning &amp; Zoning Health Ins Savings Annual</t>
  </si>
  <si>
    <t>FEMA 2024 Flood LTBR</t>
  </si>
  <si>
    <t>FHWA 2024 Flood MTBR</t>
  </si>
  <si>
    <t>over</t>
  </si>
  <si>
    <t>Over 15%</t>
  </si>
  <si>
    <t>Police Vacancy Savings - Payroll QTR 1</t>
  </si>
  <si>
    <t>Fire Department Assessment</t>
  </si>
  <si>
    <t>Police Vacancy Savings - Payroll QTR 2</t>
  </si>
  <si>
    <t>FY26 Finance Director (New) Overlap Non-Budgeted Cost (May &amp; June)</t>
  </si>
  <si>
    <t>Fire Safety Reserve</t>
  </si>
  <si>
    <t>Highway Equipment Reserve</t>
  </si>
  <si>
    <t>Available for Budget Use</t>
  </si>
  <si>
    <t>FY26 Finance Director  (Current) Vacancy Savings for June</t>
  </si>
  <si>
    <t>FEMA 2024 Flood Received</t>
  </si>
  <si>
    <t>Highway Budget Offset from Highway Restricted funds</t>
  </si>
  <si>
    <t>Highway Reserves Contribution Offset with Highway Restricted funds</t>
  </si>
  <si>
    <t>Fire Safety Reserve Contribution offset with General Unassigned funds</t>
  </si>
  <si>
    <t>Contract Services Police Chief Annual Budgeted Savings</t>
  </si>
  <si>
    <t>Contract Services Police Patrol Annual Non-Budgeted Cost</t>
  </si>
  <si>
    <t>Planning &amp; Zoning Vacancy  Savings QTR 1</t>
  </si>
  <si>
    <t>Fire Equipment Reserve</t>
  </si>
  <si>
    <t>Police Equipment Reserve</t>
  </si>
  <si>
    <t>General Unassigned Funds toward entire budget</t>
  </si>
  <si>
    <t>Act 27 Local Economic Impact Payment from State</t>
  </si>
  <si>
    <t>FY26 Assistant Town Clerk 8 additional hours per week (Jan-June)</t>
  </si>
  <si>
    <t>CAPITAL RESERVE EXPENDITURES BUDGETED</t>
  </si>
  <si>
    <t>FY22 Reserve Expenditures</t>
  </si>
  <si>
    <t>FY23 Reserve Expenditures</t>
  </si>
  <si>
    <t>FY27 Reserve Expenditures</t>
  </si>
  <si>
    <t>Cruiser #1</t>
  </si>
  <si>
    <t>Sold</t>
  </si>
  <si>
    <t>Cruiser #2</t>
  </si>
  <si>
    <t>Cruiser #3</t>
  </si>
  <si>
    <t>Cruiser #4</t>
  </si>
  <si>
    <t>Cruiser #5</t>
  </si>
  <si>
    <t>Cruiser #6</t>
  </si>
  <si>
    <t>Portable Radios</t>
  </si>
  <si>
    <t>Capital Reserve Equipment &amp; Buildling</t>
  </si>
  <si>
    <t>Fire Truck #1 (will not be replaced)</t>
  </si>
  <si>
    <t>Fire Truck #2</t>
  </si>
  <si>
    <t>Fire Truck #3</t>
  </si>
  <si>
    <t>Rescue Truck #4</t>
  </si>
  <si>
    <t>Brush Truck #5</t>
  </si>
  <si>
    <t>Extrication Equipment #1</t>
  </si>
  <si>
    <t>Extrication Equipment #2</t>
  </si>
  <si>
    <t>Washing Machine #1 (Bunker Gear)</t>
  </si>
  <si>
    <t>Washing Machine #2 (Bunker Gear Outer Layer)</t>
  </si>
  <si>
    <t>Shingles on Main Structure</t>
  </si>
  <si>
    <t>Shingles on Addition</t>
  </si>
  <si>
    <t>Dump Truck #1</t>
  </si>
  <si>
    <t>Dump Truck #2</t>
  </si>
  <si>
    <t>Dump Truck #3</t>
  </si>
  <si>
    <t>Pickup Truck with plow #6</t>
  </si>
  <si>
    <t>Excavator #8</t>
  </si>
  <si>
    <t>Grader #9</t>
  </si>
  <si>
    <t>Bucket Loader #10</t>
  </si>
  <si>
    <t>Tractor/Roadside Mower #11</t>
  </si>
  <si>
    <t>Tractor/Mower/Loader #12</t>
  </si>
  <si>
    <t>Tractor/Mower #13</t>
  </si>
  <si>
    <t>Southview Bridge scheduled for FY31</t>
  </si>
  <si>
    <t>Guardrails</t>
  </si>
  <si>
    <t>Guardrails Southview</t>
  </si>
  <si>
    <t>Guardrails Bates Farm Crossing</t>
  </si>
  <si>
    <t>Planning &amp; Zoning</t>
  </si>
  <si>
    <t>Painting - Interior</t>
  </si>
  <si>
    <t>PD Report Fees</t>
  </si>
  <si>
    <t>Police Capital Reserve Transfer</t>
  </si>
  <si>
    <t>K9 Reserve Transfer</t>
  </si>
  <si>
    <t>Library Reserve Transfer</t>
  </si>
  <si>
    <t>10-7-90-2-92.01</t>
  </si>
  <si>
    <t>Conservation fund 1Cent Reserve Transfer</t>
  </si>
  <si>
    <t>Guardrail Reserve Transfer</t>
  </si>
  <si>
    <t>New Sidewalks Reserve Transfer</t>
  </si>
  <si>
    <t>New Transportation Infrastructure Reserve Transfer</t>
  </si>
  <si>
    <t>Legal Reserve Transfer (10K reserve balance limit)</t>
  </si>
  <si>
    <t>Highway Capital Reserve Transfer</t>
  </si>
  <si>
    <t>RECREATION, TRAILS, AND PUBLIC SPACES</t>
  </si>
  <si>
    <t>Technology Services</t>
  </si>
  <si>
    <t>Fire Reserve Transfer</t>
  </si>
  <si>
    <t>Fire Reserve Contribution Offset with General Unassigned funds</t>
  </si>
  <si>
    <t>TOTAL RECREATION, TRAILS, AND PUBLIC SPACES</t>
  </si>
  <si>
    <t>FY26 Budgeted General Unassigned Funds to Offset Budget</t>
  </si>
  <si>
    <t>10-7-20-1-00.01</t>
  </si>
  <si>
    <t>10-7-20-1-22.07</t>
  </si>
  <si>
    <t>10-7-20-1-22.08</t>
  </si>
  <si>
    <t>10-7-40-1-18.01</t>
  </si>
  <si>
    <t>10-7-40-2-00.01</t>
  </si>
  <si>
    <t xml:space="preserve">Recruitment </t>
  </si>
  <si>
    <t>POLICE</t>
  </si>
  <si>
    <t xml:space="preserve">LIBRARY </t>
  </si>
  <si>
    <t>10-7-10-0-10.04</t>
  </si>
  <si>
    <t>10-7-10-0-15.05</t>
  </si>
  <si>
    <t>10-7-15-0-15.05</t>
  </si>
  <si>
    <t>10-7-20-0-15.07</t>
  </si>
  <si>
    <t>10-7-35-0-15.04</t>
  </si>
  <si>
    <t>10-7-35-1-00.01</t>
  </si>
  <si>
    <t>TOTAL ADMINISTRATION EXPENSES</t>
  </si>
  <si>
    <t>TOTAL PLANNING &amp; ZONING EXPENSES</t>
  </si>
  <si>
    <t>TOTAL POLICE EXPENSES</t>
  </si>
  <si>
    <t>FIRE</t>
  </si>
  <si>
    <t>TOTAL FIRE EXPENSES</t>
  </si>
  <si>
    <t>CHARITABLE APPROPRIATIONS</t>
  </si>
  <si>
    <t>10-8-90-5-95.07</t>
  </si>
  <si>
    <t>11-7-50-0-15.04</t>
  </si>
  <si>
    <t>TOTAL GENERAL FUND EXPENSES</t>
  </si>
  <si>
    <t>TOTAL HIGHWAY FUND EXPENSES</t>
  </si>
  <si>
    <t>TOTAL GENERAL &amp; HIGHWAY FUND EXPENSES</t>
  </si>
  <si>
    <t>Administration Salaries</t>
  </si>
  <si>
    <t xml:space="preserve">Training/Education </t>
  </si>
  <si>
    <t>Recognition and Awards</t>
  </si>
  <si>
    <t>Health Insurance Broker Fees</t>
  </si>
  <si>
    <t>Office Supplies</t>
  </si>
  <si>
    <t>Town Center Building Insurance</t>
  </si>
  <si>
    <t>Life Insurance</t>
  </si>
  <si>
    <t>Emergency Management</t>
  </si>
  <si>
    <t>Fire Protection</t>
  </si>
  <si>
    <t>County Tax</t>
  </si>
  <si>
    <t>Recording Books</t>
  </si>
  <si>
    <t>Contract Services Election</t>
  </si>
  <si>
    <t>Election</t>
  </si>
  <si>
    <t>Town Reports</t>
  </si>
  <si>
    <t>Website Administration</t>
  </si>
  <si>
    <t xml:space="preserve">Advertising </t>
  </si>
  <si>
    <t>Contract Services</t>
  </si>
  <si>
    <t>Contract Services Technology Support</t>
  </si>
  <si>
    <t>Contracted Services Independent Auditors</t>
  </si>
  <si>
    <t>VLCT Membership Dues</t>
  </si>
  <si>
    <t>Office Equipment</t>
  </si>
  <si>
    <t>Building Maintenance</t>
  </si>
  <si>
    <t>Community Well Being</t>
  </si>
  <si>
    <t>Tax Map Maintenance</t>
  </si>
  <si>
    <t>Reappraisal Reserve Transfer</t>
  </si>
  <si>
    <t>Short Term Disability</t>
  </si>
  <si>
    <t>Office Supplies Admin</t>
  </si>
  <si>
    <t>Conservation commission Supplies</t>
  </si>
  <si>
    <t>Supplies - Consumables (Paper Towels, Toilet paper, Office Supplies, kitchen Supplies)</t>
  </si>
  <si>
    <t>Advertising</t>
  </si>
  <si>
    <t>Office Equipment (copier) month to month</t>
  </si>
  <si>
    <t>Recreation Equipment</t>
  </si>
  <si>
    <t>Small Equipment purchase</t>
  </si>
  <si>
    <t>Repair - Small Equipment</t>
  </si>
  <si>
    <t>Regular Salaries</t>
  </si>
  <si>
    <t>Recreation Salaries</t>
  </si>
  <si>
    <t>Social Security/Medicare - Adm.</t>
  </si>
  <si>
    <t>Long Term Disability</t>
  </si>
  <si>
    <t>Employee Uniforms</t>
  </si>
  <si>
    <t xml:space="preserve">Constable Training </t>
  </si>
  <si>
    <t>Recruitment</t>
  </si>
  <si>
    <t xml:space="preserve">Police Supplies </t>
  </si>
  <si>
    <t>Cell Phones and Vehicle Laptop (monthly fees)</t>
  </si>
  <si>
    <t>Polygraph Testing</t>
  </si>
  <si>
    <t>10-7-20-3-20.03</t>
  </si>
  <si>
    <t>Equipment Repair (eliminating)</t>
  </si>
  <si>
    <t>Police Cruiser Repair</t>
  </si>
  <si>
    <t>Equipment Repair</t>
  </si>
  <si>
    <t>Police Cruiser Tires</t>
  </si>
  <si>
    <t>Community Relations</t>
  </si>
  <si>
    <t>Dues/Certifications/Licenses/Fees</t>
  </si>
  <si>
    <t>Landscaping and Tree Maintenance</t>
  </si>
  <si>
    <t>Dental and Eye Insurance - Union</t>
  </si>
  <si>
    <t>Forensic Testing and Evidence Collection Equipment</t>
  </si>
  <si>
    <t>Office Equipment (Copier and DPS)</t>
  </si>
  <si>
    <t>Computers and Accessories (Officer Toughbooks)</t>
  </si>
  <si>
    <t>Training/Education (includes lodging and meals)</t>
  </si>
  <si>
    <t>Public Printer and  Fax use</t>
  </si>
  <si>
    <t>Recognition and Awards - Annual Banquet</t>
  </si>
  <si>
    <t>Gas, oil and diesel fuel</t>
  </si>
  <si>
    <t>Radio Repair and  replacement</t>
  </si>
  <si>
    <t>Safety Equipment and Gear Reserve Transfer</t>
  </si>
  <si>
    <t>Gardening and Landscaping</t>
  </si>
  <si>
    <t>UVM Home Health and Hospice</t>
  </si>
  <si>
    <t xml:space="preserve">Dues, Certifications, and Licenses </t>
  </si>
  <si>
    <t>Gas and Oil</t>
  </si>
  <si>
    <t>Centerline paint and shoulder</t>
  </si>
  <si>
    <t>Dirt Roads - Gravel and aggregates</t>
  </si>
  <si>
    <t>Storm water and sidewalks</t>
  </si>
  <si>
    <t>Bridge and Culvert Reserve Transfer</t>
  </si>
  <si>
    <t>Fire Department Needs Assessment</t>
  </si>
  <si>
    <t>Special Events</t>
  </si>
  <si>
    <t>Steps Against Domestic Violence</t>
  </si>
  <si>
    <t>Equipment Parts - Miscellaneous</t>
  </si>
  <si>
    <t>Welding and Cutting Supplies</t>
  </si>
  <si>
    <t>Grand list 07/15/25</t>
  </si>
  <si>
    <t>Grand list 06/22/25</t>
  </si>
  <si>
    <t>Library Public Printer &amp; Fax</t>
  </si>
  <si>
    <t>Police Reserve Contribution Offset with General Unassigned funds</t>
  </si>
  <si>
    <t>Finance Director Peridium support</t>
  </si>
  <si>
    <t>Office Equipment (computer and accessories)</t>
  </si>
  <si>
    <t>Employee Gear</t>
  </si>
  <si>
    <t>Uniforms (hats, t-shirts, gloves, jackets, sweatshirts)</t>
  </si>
  <si>
    <t>Project AR1-058 4a Millet storm water Admin Fee</t>
  </si>
  <si>
    <t>Grand list ESTIMATE as of 12/03/25</t>
  </si>
  <si>
    <t>Pickleball Supplies</t>
  </si>
  <si>
    <t>FY25 Audit Update/use of opioid fund for commumity well being budgeted</t>
  </si>
  <si>
    <t>Unassigned and Restricted Fund Balance at End of Fiscal Year shown as a percentage of the next Fiscal Year Budget</t>
  </si>
  <si>
    <t>Unassigned and Restricted Funds Balance At End of Fiscal Year</t>
  </si>
  <si>
    <t>Budget for Next Fiscal Year</t>
  </si>
  <si>
    <t>Unassigned and Restricted Funds Balance as a percentage of next Fiscal Year Budget</t>
  </si>
  <si>
    <t>Fiscal Year</t>
  </si>
  <si>
    <t>Budgeted Use of Unassigned and Restricted Funds</t>
  </si>
  <si>
    <t>Dash Camaras</t>
  </si>
  <si>
    <t>Circulation Desks</t>
  </si>
  <si>
    <t>10-7-60-2-62.04</t>
  </si>
  <si>
    <t>Mobile Data Computers</t>
  </si>
  <si>
    <t>Waterline to Station</t>
  </si>
  <si>
    <t>Recreation Reserve Fund</t>
  </si>
  <si>
    <t>Recreation Fund Contribution Offest with General Unassigned funds</t>
  </si>
  <si>
    <t>Recreation Reserve</t>
  </si>
  <si>
    <t>Highway Bridge and Culvert Contribution Offset with Unassigned Funds</t>
  </si>
  <si>
    <t>Highway Bridge and Culvert Reserve</t>
  </si>
  <si>
    <t>Total Town Rate/SB - To be set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</si>
</sst>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0_);_(&quot;$&quot;* \(#,##0.000000\);_(&quot;$&quot;* &quot;-&quot;??_);_(@_)"/>
    <numFmt numFmtId="166" formatCode="0.0000"/>
    <numFmt numFmtId="167" formatCode="_(&quot;$&quot;* #,##0.0000_);_(&quot;$&quot;* \(#,##0.0000\);_(&quot;$&quot;* &quot;-&quot;????_);_(@_)"/>
    <numFmt numFmtId="168" formatCode="0.0000%"/>
    <numFmt numFmtId="169" formatCode="_(* #,##0_);_(* \(#,##0\);_(* &quot;-&quot;??_);_(@_)"/>
    <numFmt numFmtId="170" formatCode="_(&quot;$&quot;* #,##0.0000_);_(&quot;$&quot;* \(#,##0.0000\);_(&quot;$&quot;* &quot;-&quot;?????_);_(@_)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9">
    <xf numFmtId="0" fontId="0" fillId="0" borderId="0" xfId="0"/>
    <xf numFmtId="41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wrapText="1"/>
    </xf>
    <xf numFmtId="41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164" fontId="5" fillId="0" borderId="0" xfId="2" applyNumberFormat="1" applyFont="1" applyFill="1" applyBorder="1"/>
    <xf numFmtId="43" fontId="0" fillId="0" borderId="0" xfId="0" applyNumberFormat="1"/>
    <xf numFmtId="44" fontId="18" fillId="0" borderId="0" xfId="2" applyFont="1" applyFill="1"/>
    <xf numFmtId="0" fontId="4" fillId="0" borderId="0" xfId="0" applyFont="1" applyAlignment="1">
      <alignment horizontal="center"/>
    </xf>
    <xf numFmtId="164" fontId="0" fillId="0" borderId="0" xfId="0" applyNumberFormat="1"/>
    <xf numFmtId="165" fontId="5" fillId="0" borderId="0" xfId="2" applyNumberFormat="1" applyFont="1" applyFill="1" applyBorder="1"/>
    <xf numFmtId="0" fontId="31" fillId="0" borderId="0" xfId="0" applyFont="1"/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168" fontId="0" fillId="0" borderId="0" xfId="0" applyNumberFormat="1"/>
    <xf numFmtId="10" fontId="18" fillId="0" borderId="0" xfId="4" applyNumberFormat="1" applyFont="1" applyFill="1" applyBorder="1"/>
    <xf numFmtId="164" fontId="9" fillId="0" borderId="0" xfId="0" applyNumberFormat="1" applyFont="1"/>
    <xf numFmtId="0" fontId="1" fillId="0" borderId="0" xfId="0" applyFont="1" applyAlignment="1">
      <alignment horizontal="left"/>
    </xf>
    <xf numFmtId="0" fontId="18" fillId="0" borderId="0" xfId="4" applyNumberFormat="1" applyFont="1" applyFill="1" applyBorder="1"/>
    <xf numFmtId="0" fontId="0" fillId="0" borderId="2" xfId="0" applyBorder="1"/>
    <xf numFmtId="0" fontId="5" fillId="0" borderId="2" xfId="0" applyFont="1" applyBorder="1"/>
    <xf numFmtId="164" fontId="9" fillId="0" borderId="2" xfId="0" applyNumberFormat="1" applyFont="1" applyBorder="1"/>
    <xf numFmtId="10" fontId="9" fillId="0" borderId="2" xfId="4" applyNumberFormat="1" applyFont="1" applyFill="1" applyBorder="1"/>
    <xf numFmtId="164" fontId="5" fillId="0" borderId="2" xfId="0" applyNumberFormat="1" applyFont="1" applyBorder="1"/>
    <xf numFmtId="0" fontId="2" fillId="0" borderId="2" xfId="0" applyFont="1" applyBorder="1" applyAlignment="1">
      <alignment horizontal="center"/>
    </xf>
    <xf numFmtId="41" fontId="5" fillId="0" borderId="0" xfId="0" applyNumberFormat="1" applyFont="1"/>
    <xf numFmtId="41" fontId="1" fillId="0" borderId="0" xfId="0" applyNumberFormat="1" applyFont="1"/>
    <xf numFmtId="0" fontId="11" fillId="0" borderId="0" xfId="0" applyFont="1"/>
    <xf numFmtId="0" fontId="0" fillId="0" borderId="3" xfId="0" applyBorder="1"/>
    <xf numFmtId="0" fontId="5" fillId="0" borderId="3" xfId="0" applyFont="1" applyBorder="1"/>
    <xf numFmtId="164" fontId="5" fillId="0" borderId="1" xfId="2" applyNumberFormat="1" applyFont="1" applyFill="1" applyBorder="1"/>
    <xf numFmtId="0" fontId="5" fillId="0" borderId="1" xfId="0" applyFont="1" applyBorder="1"/>
    <xf numFmtId="0" fontId="5" fillId="0" borderId="4" xfId="0" applyFont="1" applyBorder="1"/>
    <xf numFmtId="0" fontId="24" fillId="0" borderId="0" xfId="0" applyFont="1" applyAlignment="1">
      <alignment horizontal="right"/>
    </xf>
    <xf numFmtId="41" fontId="25" fillId="0" borderId="0" xfId="0" applyNumberFormat="1" applyFont="1" applyAlignment="1">
      <alignment horizontal="right"/>
    </xf>
    <xf numFmtId="41" fontId="25" fillId="0" borderId="0" xfId="2" applyNumberFormat="1" applyFont="1" applyFill="1" applyBorder="1" applyAlignment="1">
      <alignment horizontal="right"/>
    </xf>
    <xf numFmtId="1" fontId="0" fillId="0" borderId="0" xfId="0" applyNumberFormat="1"/>
    <xf numFmtId="0" fontId="8" fillId="0" borderId="3" xfId="0" applyFont="1" applyBorder="1"/>
    <xf numFmtId="10" fontId="1" fillId="0" borderId="1" xfId="4" applyNumberFormat="1" applyFont="1" applyFill="1" applyBorder="1"/>
    <xf numFmtId="0" fontId="0" fillId="0" borderId="4" xfId="0" applyBorder="1"/>
    <xf numFmtId="0" fontId="7" fillId="0" borderId="2" xfId="0" applyFont="1" applyBorder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167" fontId="5" fillId="0" borderId="0" xfId="2" applyNumberFormat="1" applyFont="1" applyFill="1" applyBorder="1" applyAlignment="1">
      <alignment horizontal="right"/>
    </xf>
    <xf numFmtId="164" fontId="5" fillId="0" borderId="0" xfId="2" quotePrefix="1" applyNumberFormat="1" applyFont="1" applyFill="1" applyBorder="1"/>
    <xf numFmtId="167" fontId="5" fillId="0" borderId="1" xfId="2" applyNumberFormat="1" applyFont="1" applyFill="1" applyBorder="1" applyAlignment="1">
      <alignment horizontal="right"/>
    </xf>
    <xf numFmtId="0" fontId="32" fillId="0" borderId="0" xfId="0" applyFont="1"/>
    <xf numFmtId="170" fontId="5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7" fontId="18" fillId="0" borderId="0" xfId="1" applyNumberFormat="1" applyFont="1" applyFill="1" applyBorder="1" applyAlignment="1">
      <alignment horizontal="right"/>
    </xf>
    <xf numFmtId="0" fontId="0" fillId="0" borderId="5" xfId="0" applyBorder="1"/>
    <xf numFmtId="0" fontId="0" fillId="0" borderId="1" xfId="0" applyBorder="1"/>
    <xf numFmtId="168" fontId="0" fillId="0" borderId="1" xfId="0" applyNumberFormat="1" applyBorder="1"/>
    <xf numFmtId="0" fontId="30" fillId="0" borderId="0" xfId="0" applyFont="1"/>
    <xf numFmtId="0" fontId="26" fillId="0" borderId="0" xfId="0" applyFont="1"/>
    <xf numFmtId="0" fontId="27" fillId="0" borderId="0" xfId="0" applyFont="1"/>
    <xf numFmtId="0" fontId="1" fillId="0" borderId="0" xfId="0" applyFont="1" applyAlignment="1">
      <alignment horizontal="center"/>
    </xf>
    <xf numFmtId="169" fontId="2" fillId="0" borderId="0" xfId="2" applyNumberFormat="1" applyFont="1" applyFill="1" applyBorder="1" applyAlignment="1" applyProtection="1">
      <alignment horizontal="center" wrapText="1"/>
      <protection locked="0"/>
    </xf>
    <xf numFmtId="169" fontId="18" fillId="0" borderId="0" xfId="2" applyNumberFormat="1" applyFont="1" applyFill="1"/>
    <xf numFmtId="169" fontId="18" fillId="0" borderId="6" xfId="2" applyNumberFormat="1" applyFont="1" applyFill="1" applyBorder="1"/>
    <xf numFmtId="169" fontId="14" fillId="0" borderId="0" xfId="2" applyNumberFormat="1" applyFont="1" applyFill="1"/>
    <xf numFmtId="169" fontId="13" fillId="0" borderId="0" xfId="2" applyNumberFormat="1" applyFont="1" applyFill="1"/>
    <xf numFmtId="169" fontId="12" fillId="0" borderId="0" xfId="2" applyNumberFormat="1" applyFont="1" applyFill="1"/>
    <xf numFmtId="169" fontId="15" fillId="0" borderId="0" xfId="2" applyNumberFormat="1" applyFont="1" applyFill="1"/>
    <xf numFmtId="169" fontId="1" fillId="0" borderId="0" xfId="2" applyNumberFormat="1" applyFont="1" applyFill="1"/>
    <xf numFmtId="169" fontId="16" fillId="0" borderId="0" xfId="2" applyNumberFormat="1" applyFont="1" applyFill="1"/>
    <xf numFmtId="169" fontId="17" fillId="0" borderId="0" xfId="2" applyNumberFormat="1" applyFont="1" applyFill="1" applyBorder="1"/>
    <xf numFmtId="169" fontId="17" fillId="0" borderId="0" xfId="2" applyNumberFormat="1" applyFont="1" applyFill="1"/>
    <xf numFmtId="169" fontId="2" fillId="0" borderId="0" xfId="2" applyNumberFormat="1" applyFont="1" applyFill="1"/>
    <xf numFmtId="41" fontId="26" fillId="0" borderId="0" xfId="0" applyNumberFormat="1" applyFont="1"/>
    <xf numFmtId="41" fontId="26" fillId="0" borderId="0" xfId="0" applyNumberFormat="1" applyFont="1" applyAlignment="1">
      <alignment horizontal="center" wrapText="1"/>
    </xf>
    <xf numFmtId="41" fontId="27" fillId="0" borderId="0" xfId="0" applyNumberFormat="1" applyFont="1"/>
    <xf numFmtId="0" fontId="33" fillId="0" borderId="0" xfId="0" applyFont="1" applyAlignment="1">
      <alignment horizontal="centerContinuous"/>
    </xf>
    <xf numFmtId="0" fontId="34" fillId="0" borderId="0" xfId="0" applyFont="1"/>
    <xf numFmtId="41" fontId="34" fillId="0" borderId="0" xfId="0" applyNumberFormat="1" applyFont="1"/>
    <xf numFmtId="3" fontId="0" fillId="0" borderId="0" xfId="0" applyNumberFormat="1"/>
    <xf numFmtId="41" fontId="27" fillId="0" borderId="0" xfId="0" applyNumberFormat="1" applyFont="1" applyAlignment="1">
      <alignment horizontal="right"/>
    </xf>
    <xf numFmtId="9" fontId="0" fillId="0" borderId="0" xfId="0" applyNumberFormat="1"/>
    <xf numFmtId="3" fontId="26" fillId="0" borderId="0" xfId="0" applyNumberFormat="1" applyFont="1"/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/>
    <xf numFmtId="41" fontId="0" fillId="2" borderId="0" xfId="0" applyNumberFormat="1" applyFill="1"/>
    <xf numFmtId="0" fontId="0" fillId="0" borderId="0" xfId="0" applyAlignment="1">
      <alignment horizontal="center"/>
    </xf>
    <xf numFmtId="41" fontId="35" fillId="0" borderId="8" xfId="0" applyNumberFormat="1" applyFont="1" applyBorder="1" applyAlignment="1">
      <alignment horizontal="center"/>
    </xf>
    <xf numFmtId="41" fontId="35" fillId="0" borderId="0" xfId="0" applyNumberFormat="1" applyFont="1"/>
    <xf numFmtId="41" fontId="35" fillId="0" borderId="9" xfId="0" applyNumberFormat="1" applyFont="1" applyBorder="1" applyAlignment="1">
      <alignment horizontal="center"/>
    </xf>
    <xf numFmtId="41" fontId="35" fillId="0" borderId="10" xfId="0" applyNumberFormat="1" applyFont="1" applyBorder="1" applyAlignment="1">
      <alignment horizontal="center"/>
    </xf>
    <xf numFmtId="41" fontId="35" fillId="0" borderId="11" xfId="0" applyNumberFormat="1" applyFont="1" applyBorder="1" applyAlignment="1">
      <alignment horizontal="center"/>
    </xf>
    <xf numFmtId="41" fontId="35" fillId="0" borderId="12" xfId="0" applyNumberFormat="1" applyFont="1" applyBorder="1" applyAlignment="1">
      <alignment horizontal="center"/>
    </xf>
    <xf numFmtId="41" fontId="35" fillId="0" borderId="13" xfId="0" applyNumberFormat="1" applyFont="1" applyBorder="1" applyAlignment="1">
      <alignment horizontal="center" wrapText="1"/>
    </xf>
    <xf numFmtId="41" fontId="35" fillId="0" borderId="14" xfId="0" applyNumberFormat="1" applyFont="1" applyBorder="1" applyAlignment="1">
      <alignment horizontal="center" wrapText="1"/>
    </xf>
    <xf numFmtId="41" fontId="30" fillId="0" borderId="0" xfId="0" applyNumberFormat="1" applyFont="1"/>
    <xf numFmtId="41" fontId="0" fillId="0" borderId="15" xfId="0" applyNumberFormat="1" applyBorder="1"/>
    <xf numFmtId="41" fontId="0" fillId="0" borderId="16" xfId="0" applyNumberFormat="1" applyBorder="1"/>
    <xf numFmtId="41" fontId="0" fillId="0" borderId="2" xfId="0" applyNumberFormat="1" applyBorder="1"/>
    <xf numFmtId="41" fontId="0" fillId="0" borderId="17" xfId="0" applyNumberFormat="1" applyBorder="1"/>
    <xf numFmtId="41" fontId="0" fillId="0" borderId="18" xfId="0" applyNumberFormat="1" applyBorder="1"/>
    <xf numFmtId="41" fontId="0" fillId="0" borderId="19" xfId="0" applyNumberFormat="1" applyBorder="1"/>
    <xf numFmtId="41" fontId="0" fillId="0" borderId="20" xfId="0" applyNumberFormat="1" applyBorder="1"/>
    <xf numFmtId="41" fontId="0" fillId="3" borderId="0" xfId="0" applyNumberFormat="1" applyFill="1"/>
    <xf numFmtId="41" fontId="0" fillId="0" borderId="21" xfId="0" applyNumberFormat="1" applyBorder="1"/>
    <xf numFmtId="41" fontId="0" fillId="0" borderId="22" xfId="0" applyNumberFormat="1" applyBorder="1"/>
    <xf numFmtId="41" fontId="0" fillId="0" borderId="23" xfId="0" applyNumberFormat="1" applyBorder="1"/>
    <xf numFmtId="41" fontId="0" fillId="0" borderId="3" xfId="0" applyNumberFormat="1" applyBorder="1"/>
    <xf numFmtId="41" fontId="0" fillId="0" borderId="24" xfId="0" applyNumberFormat="1" applyBorder="1"/>
    <xf numFmtId="41" fontId="0" fillId="0" borderId="25" xfId="0" applyNumberFormat="1" applyBorder="1"/>
    <xf numFmtId="41" fontId="0" fillId="0" borderId="26" xfId="0" applyNumberFormat="1" applyBorder="1"/>
    <xf numFmtId="41" fontId="0" fillId="0" borderId="27" xfId="0" applyNumberFormat="1" applyBorder="1"/>
    <xf numFmtId="41" fontId="0" fillId="0" borderId="28" xfId="0" applyNumberFormat="1" applyBorder="1"/>
    <xf numFmtId="41" fontId="0" fillId="0" borderId="29" xfId="0" applyNumberFormat="1" applyBorder="1"/>
    <xf numFmtId="41" fontId="35" fillId="0" borderId="24" xfId="0" applyNumberFormat="1" applyFont="1" applyBorder="1" applyAlignment="1">
      <alignment horizontal="center" wrapText="1"/>
    </xf>
    <xf numFmtId="0" fontId="32" fillId="0" borderId="30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2" fillId="0" borderId="31" xfId="0" applyFont="1" applyBorder="1" applyAlignment="1">
      <alignment horizontal="center" wrapText="1"/>
    </xf>
    <xf numFmtId="41" fontId="34" fillId="0" borderId="30" xfId="0" applyNumberFormat="1" applyFont="1" applyBorder="1" applyAlignment="1">
      <alignment wrapText="1"/>
    </xf>
    <xf numFmtId="41" fontId="34" fillId="0" borderId="16" xfId="0" applyNumberFormat="1" applyFont="1" applyBorder="1" applyAlignment="1">
      <alignment wrapText="1"/>
    </xf>
    <xf numFmtId="41" fontId="34" fillId="0" borderId="16" xfId="0" applyNumberFormat="1" applyFont="1" applyBorder="1"/>
    <xf numFmtId="41" fontId="34" fillId="0" borderId="31" xfId="0" applyNumberFormat="1" applyFont="1" applyBorder="1"/>
    <xf numFmtId="10" fontId="18" fillId="0" borderId="1" xfId="4" applyNumberFormat="1" applyFont="1" applyFill="1" applyBorder="1" applyAlignment="1">
      <alignment horizontal="right"/>
    </xf>
    <xf numFmtId="41" fontId="0" fillId="0" borderId="33" xfId="0" applyNumberFormat="1" applyBorder="1"/>
    <xf numFmtId="43" fontId="2" fillId="0" borderId="0" xfId="2" applyNumberFormat="1" applyFont="1" applyFill="1" applyBorder="1" applyAlignment="1" applyProtection="1">
      <alignment horizontal="center" wrapText="1"/>
      <protection locked="0"/>
    </xf>
    <xf numFmtId="43" fontId="18" fillId="0" borderId="6" xfId="2" applyNumberFormat="1" applyFont="1" applyFill="1" applyBorder="1"/>
    <xf numFmtId="43" fontId="18" fillId="0" borderId="0" xfId="2" applyNumberFormat="1" applyFont="1" applyFill="1"/>
    <xf numFmtId="43" fontId="17" fillId="0" borderId="0" xfId="2" applyNumberFormat="1" applyFont="1" applyFill="1" applyBorder="1"/>
    <xf numFmtId="43" fontId="17" fillId="0" borderId="0" xfId="2" applyNumberFormat="1" applyFont="1" applyFill="1"/>
    <xf numFmtId="43" fontId="2" fillId="0" borderId="0" xfId="2" applyNumberFormat="1" applyFont="1" applyFill="1"/>
    <xf numFmtId="0" fontId="28" fillId="0" borderId="1" xfId="0" applyFont="1" applyBorder="1" applyAlignment="1">
      <alignment wrapText="1"/>
    </xf>
    <xf numFmtId="41" fontId="28" fillId="0" borderId="1" xfId="0" applyNumberFormat="1" applyFont="1" applyBorder="1" applyAlignment="1" applyProtection="1">
      <alignment horizontal="center" wrapText="1"/>
      <protection locked="0"/>
    </xf>
    <xf numFmtId="3" fontId="28" fillId="0" borderId="0" xfId="0" applyNumberFormat="1" applyFont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41" fontId="24" fillId="0" borderId="0" xfId="0" applyNumberFormat="1" applyFont="1" applyProtection="1">
      <protection locked="0"/>
    </xf>
    <xf numFmtId="41" fontId="24" fillId="0" borderId="0" xfId="0" applyNumberFormat="1" applyFont="1" applyAlignment="1" applyProtection="1">
      <alignment horizontal="left"/>
      <protection locked="0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/>
    <xf numFmtId="0" fontId="24" fillId="0" borderId="0" xfId="0" applyFont="1"/>
    <xf numFmtId="41" fontId="24" fillId="0" borderId="34" xfId="0" applyNumberFormat="1" applyFont="1" applyBorder="1" applyProtection="1">
      <protection locked="0"/>
    </xf>
    <xf numFmtId="41" fontId="24" fillId="0" borderId="34" xfId="0" applyNumberFormat="1" applyFont="1" applyBorder="1" applyAlignment="1" applyProtection="1">
      <alignment horizontal="left"/>
      <protection locked="0"/>
    </xf>
    <xf numFmtId="41" fontId="24" fillId="0" borderId="0" xfId="0" applyNumberFormat="1" applyFont="1"/>
    <xf numFmtId="41" fontId="24" fillId="0" borderId="35" xfId="0" applyNumberFormat="1" applyFont="1" applyBorder="1" applyProtection="1">
      <protection locked="0"/>
    </xf>
    <xf numFmtId="0" fontId="28" fillId="0" borderId="0" xfId="0" applyFont="1" applyAlignment="1">
      <alignment horizontal="right"/>
    </xf>
    <xf numFmtId="3" fontId="28" fillId="0" borderId="0" xfId="0" applyNumberFormat="1" applyFont="1"/>
    <xf numFmtId="41" fontId="24" fillId="0" borderId="1" xfId="0" applyNumberFormat="1" applyFont="1" applyBorder="1" applyProtection="1">
      <protection locked="0"/>
    </xf>
    <xf numFmtId="41" fontId="24" fillId="0" borderId="36" xfId="0" applyNumberFormat="1" applyFont="1" applyBorder="1" applyProtection="1">
      <protection locked="0"/>
    </xf>
    <xf numFmtId="41" fontId="28" fillId="0" borderId="0" xfId="0" applyNumberFormat="1" applyFont="1" applyAlignment="1" applyProtection="1">
      <alignment horizontal="right"/>
      <protection locked="0"/>
    </xf>
    <xf numFmtId="41" fontId="24" fillId="0" borderId="14" xfId="0" applyNumberFormat="1" applyFont="1" applyBorder="1" applyProtection="1">
      <protection locked="0"/>
    </xf>
    <xf numFmtId="0" fontId="28" fillId="0" borderId="0" xfId="0" applyFont="1" applyAlignment="1">
      <alignment horizontal="left"/>
    </xf>
    <xf numFmtId="41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41" fontId="24" fillId="0" borderId="34" xfId="0" applyNumberFormat="1" applyFont="1" applyBorder="1"/>
    <xf numFmtId="41" fontId="24" fillId="0" borderId="34" xfId="0" applyNumberFormat="1" applyFont="1" applyBorder="1" applyAlignment="1">
      <alignment horizontal="left"/>
    </xf>
    <xf numFmtId="41" fontId="24" fillId="0" borderId="35" xfId="0" applyNumberFormat="1" applyFont="1" applyBorder="1"/>
    <xf numFmtId="41" fontId="28" fillId="0" borderId="0" xfId="0" applyNumberFormat="1" applyFont="1"/>
    <xf numFmtId="41" fontId="24" fillId="0" borderId="0" xfId="0" quotePrefix="1" applyNumberFormat="1" applyFont="1"/>
    <xf numFmtId="41" fontId="24" fillId="0" borderId="36" xfId="0" applyNumberFormat="1" applyFont="1" applyBorder="1"/>
    <xf numFmtId="3" fontId="28" fillId="0" borderId="0" xfId="0" applyNumberFormat="1" applyFont="1" applyAlignment="1">
      <alignment horizontal="right"/>
    </xf>
    <xf numFmtId="41" fontId="24" fillId="0" borderId="37" xfId="0" applyNumberFormat="1" applyFont="1" applyBorder="1" applyProtection="1">
      <protection locked="0"/>
    </xf>
    <xf numFmtId="41" fontId="24" fillId="0" borderId="6" xfId="0" applyNumberFormat="1" applyFont="1" applyBorder="1" applyProtection="1">
      <protection locked="0"/>
    </xf>
    <xf numFmtId="41" fontId="24" fillId="0" borderId="7" xfId="0" applyNumberFormat="1" applyFont="1" applyBorder="1" applyProtection="1">
      <protection locked="0"/>
    </xf>
    <xf numFmtId="0" fontId="28" fillId="0" borderId="14" xfId="0" applyFont="1" applyBorder="1" applyAlignment="1">
      <alignment horizontal="right"/>
    </xf>
    <xf numFmtId="0" fontId="24" fillId="4" borderId="0" xfId="0" applyFont="1" applyFill="1"/>
    <xf numFmtId="9" fontId="24" fillId="0" borderId="0" xfId="4" applyFont="1" applyFill="1"/>
    <xf numFmtId="41" fontId="36" fillId="0" borderId="34" xfId="0" applyNumberFormat="1" applyFont="1" applyBorder="1" applyProtection="1">
      <protection locked="0"/>
    </xf>
    <xf numFmtId="41" fontId="24" fillId="0" borderId="34" xfId="0" applyNumberFormat="1" applyFont="1" applyBorder="1" applyAlignment="1" applyProtection="1">
      <alignment horizontal="right"/>
      <protection locked="0"/>
    </xf>
    <xf numFmtId="41" fontId="24" fillId="0" borderId="35" xfId="0" applyNumberFormat="1" applyFont="1" applyBorder="1" applyAlignment="1" applyProtection="1">
      <alignment horizontal="right"/>
      <protection locked="0"/>
    </xf>
    <xf numFmtId="41" fontId="24" fillId="0" borderId="39" xfId="0" applyNumberFormat="1" applyFont="1" applyBorder="1" applyProtection="1">
      <protection locked="0"/>
    </xf>
    <xf numFmtId="41" fontId="28" fillId="5" borderId="39" xfId="0" applyNumberFormat="1" applyFont="1" applyFill="1" applyBorder="1" applyProtection="1">
      <protection locked="0"/>
    </xf>
    <xf numFmtId="41" fontId="28" fillId="5" borderId="39" xfId="0" applyNumberFormat="1" applyFont="1" applyFill="1" applyBorder="1"/>
    <xf numFmtId="0" fontId="28" fillId="6" borderId="0" xfId="0" applyFont="1" applyFill="1"/>
    <xf numFmtId="41" fontId="28" fillId="6" borderId="39" xfId="0" applyNumberFormat="1" applyFont="1" applyFill="1" applyBorder="1" applyProtection="1">
      <protection locked="0"/>
    </xf>
    <xf numFmtId="0" fontId="28" fillId="6" borderId="0" xfId="0" applyFont="1" applyFill="1" applyAlignment="1">
      <alignment horizontal="left"/>
    </xf>
    <xf numFmtId="41" fontId="28" fillId="6" borderId="39" xfId="0" applyNumberFormat="1" applyFont="1" applyFill="1" applyBorder="1"/>
    <xf numFmtId="41" fontId="28" fillId="5" borderId="39" xfId="0" applyNumberFormat="1" applyFont="1" applyFill="1" applyBorder="1" applyAlignment="1" applyProtection="1">
      <alignment horizontal="right"/>
      <protection locked="0"/>
    </xf>
    <xf numFmtId="41" fontId="24" fillId="5" borderId="39" xfId="0" applyNumberFormat="1" applyFont="1" applyFill="1" applyBorder="1" applyProtection="1">
      <protection locked="0"/>
    </xf>
    <xf numFmtId="41" fontId="24" fillId="5" borderId="39" xfId="0" applyNumberFormat="1" applyFont="1" applyFill="1" applyBorder="1" applyAlignment="1" applyProtection="1">
      <alignment horizontal="right"/>
      <protection locked="0"/>
    </xf>
    <xf numFmtId="0" fontId="28" fillId="4" borderId="0" xfId="0" applyFont="1" applyFill="1"/>
    <xf numFmtId="41" fontId="28" fillId="4" borderId="39" xfId="0" applyNumberFormat="1" applyFont="1" applyFill="1" applyBorder="1" applyProtection="1">
      <protection locked="0"/>
    </xf>
    <xf numFmtId="0" fontId="24" fillId="6" borderId="0" xfId="0" applyFont="1" applyFill="1" applyAlignment="1">
      <alignment horizontal="right"/>
    </xf>
    <xf numFmtId="10" fontId="24" fillId="0" borderId="0" xfId="0" applyNumberFormat="1" applyFont="1" applyAlignment="1">
      <alignment horizontal="center"/>
    </xf>
    <xf numFmtId="41" fontId="24" fillId="0" borderId="0" xfId="0" applyNumberFormat="1" applyFont="1" applyAlignment="1">
      <alignment horizontal="center"/>
    </xf>
    <xf numFmtId="41" fontId="28" fillId="0" borderId="0" xfId="0" applyNumberFormat="1" applyFont="1" applyProtection="1">
      <protection locked="0"/>
    </xf>
    <xf numFmtId="41" fontId="28" fillId="0" borderId="0" xfId="0" applyNumberFormat="1" applyFont="1" applyAlignment="1">
      <alignment horizontal="center"/>
    </xf>
    <xf numFmtId="41" fontId="24" fillId="0" borderId="37" xfId="0" applyNumberFormat="1" applyFont="1" applyBorder="1"/>
    <xf numFmtId="41" fontId="0" fillId="0" borderId="13" xfId="0" applyNumberFormat="1" applyBorder="1" applyAlignment="1">
      <alignment horizontal="center" wrapText="1"/>
    </xf>
    <xf numFmtId="41" fontId="35" fillId="0" borderId="8" xfId="0" applyNumberFormat="1" applyFont="1" applyBorder="1" applyAlignment="1">
      <alignment horizontal="center" wrapText="1"/>
    </xf>
    <xf numFmtId="41" fontId="0" fillId="0" borderId="40" xfId="0" applyNumberFormat="1" applyBorder="1"/>
    <xf numFmtId="41" fontId="0" fillId="0" borderId="41" xfId="0" applyNumberFormat="1" applyBorder="1"/>
    <xf numFmtId="41" fontId="0" fillId="0" borderId="42" xfId="0" applyNumberFormat="1" applyBorder="1"/>
    <xf numFmtId="41" fontId="0" fillId="0" borderId="43" xfId="0" applyNumberFormat="1" applyBorder="1"/>
    <xf numFmtId="41" fontId="1" fillId="0" borderId="41" xfId="0" applyNumberFormat="1" applyFont="1" applyBorder="1"/>
    <xf numFmtId="41" fontId="14" fillId="0" borderId="0" xfId="2" applyNumberFormat="1" applyFont="1" applyFill="1"/>
    <xf numFmtId="41" fontId="18" fillId="0" borderId="0" xfId="2" applyNumberFormat="1" applyFont="1" applyFill="1"/>
    <xf numFmtId="41" fontId="13" fillId="0" borderId="0" xfId="2" applyNumberFormat="1" applyFont="1" applyFill="1"/>
    <xf numFmtId="41" fontId="12" fillId="0" borderId="0" xfId="2" applyNumberFormat="1" applyFont="1" applyFill="1"/>
    <xf numFmtId="41" fontId="1" fillId="0" borderId="0" xfId="2" applyNumberFormat="1" applyFont="1" applyFill="1"/>
    <xf numFmtId="41" fontId="15" fillId="0" borderId="0" xfId="2" applyNumberFormat="1" applyFont="1" applyFill="1"/>
    <xf numFmtId="41" fontId="16" fillId="0" borderId="0" xfId="2" applyNumberFormat="1" applyFont="1" applyFill="1"/>
    <xf numFmtId="41" fontId="17" fillId="0" borderId="0" xfId="2" applyNumberFormat="1" applyFont="1" applyFill="1"/>
    <xf numFmtId="3" fontId="33" fillId="0" borderId="0" xfId="0" applyNumberFormat="1" applyFont="1" applyAlignment="1">
      <alignment horizontal="centerContinuous"/>
    </xf>
    <xf numFmtId="4" fontId="34" fillId="0" borderId="0" xfId="0" applyNumberFormat="1" applyFont="1"/>
    <xf numFmtId="0" fontId="34" fillId="0" borderId="0" xfId="0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3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6" xfId="0" applyFont="1" applyBorder="1"/>
    <xf numFmtId="3" fontId="34" fillId="0" borderId="6" xfId="0" applyNumberFormat="1" applyFont="1" applyBorder="1"/>
    <xf numFmtId="41" fontId="34" fillId="0" borderId="6" xfId="0" applyNumberFormat="1" applyFont="1" applyBorder="1"/>
    <xf numFmtId="3" fontId="34" fillId="0" borderId="0" xfId="0" applyNumberFormat="1" applyFont="1"/>
    <xf numFmtId="0" fontId="32" fillId="0" borderId="0" xfId="0" applyFont="1" applyAlignment="1">
      <alignment horizontal="right"/>
    </xf>
    <xf numFmtId="0" fontId="34" fillId="0" borderId="38" xfId="0" applyFont="1" applyBorder="1"/>
    <xf numFmtId="3" fontId="34" fillId="0" borderId="38" xfId="0" applyNumberFormat="1" applyFont="1" applyBorder="1"/>
    <xf numFmtId="41" fontId="34" fillId="0" borderId="38" xfId="0" applyNumberFormat="1" applyFont="1" applyBorder="1"/>
    <xf numFmtId="3" fontId="2" fillId="0" borderId="38" xfId="0" applyNumberFormat="1" applyFont="1" applyBorder="1" applyAlignment="1">
      <alignment horizontal="right"/>
    </xf>
    <xf numFmtId="169" fontId="37" fillId="0" borderId="0" xfId="2" applyNumberFormat="1" applyFont="1" applyFill="1"/>
    <xf numFmtId="41" fontId="34" fillId="0" borderId="46" xfId="0" applyNumberFormat="1" applyFont="1" applyBorder="1" applyAlignment="1">
      <alignment wrapText="1"/>
    </xf>
    <xf numFmtId="3" fontId="34" fillId="0" borderId="46" xfId="0" applyNumberFormat="1" applyFont="1" applyBorder="1" applyAlignment="1">
      <alignment wrapText="1"/>
    </xf>
    <xf numFmtId="41" fontId="34" fillId="0" borderId="46" xfId="0" applyNumberFormat="1" applyFont="1" applyBorder="1"/>
    <xf numFmtId="3" fontId="32" fillId="0" borderId="46" xfId="0" applyNumberFormat="1" applyFont="1" applyBorder="1"/>
    <xf numFmtId="41" fontId="34" fillId="0" borderId="0" xfId="0" applyNumberFormat="1" applyFont="1" applyAlignment="1">
      <alignment wrapText="1"/>
    </xf>
    <xf numFmtId="3" fontId="34" fillId="0" borderId="0" xfId="0" applyNumberFormat="1" applyFont="1" applyAlignment="1">
      <alignment wrapText="1"/>
    </xf>
    <xf numFmtId="3" fontId="32" fillId="0" borderId="0" xfId="0" applyNumberFormat="1" applyFont="1"/>
    <xf numFmtId="3" fontId="32" fillId="0" borderId="0" xfId="0" applyNumberFormat="1" applyFont="1" applyAlignment="1">
      <alignment wrapText="1"/>
    </xf>
    <xf numFmtId="10" fontId="34" fillId="0" borderId="0" xfId="0" applyNumberFormat="1" applyFont="1"/>
    <xf numFmtId="41" fontId="1" fillId="0" borderId="19" xfId="0" applyNumberFormat="1" applyFont="1" applyBorder="1"/>
    <xf numFmtId="10" fontId="24" fillId="0" borderId="0" xfId="0" applyNumberFormat="1" applyFont="1" applyProtection="1">
      <protection locked="0"/>
    </xf>
    <xf numFmtId="41" fontId="24" fillId="0" borderId="6" xfId="0" applyNumberFormat="1" applyFont="1" applyBorder="1" applyAlignment="1" applyProtection="1">
      <alignment horizontal="left"/>
      <protection locked="0"/>
    </xf>
    <xf numFmtId="41" fontId="24" fillId="0" borderId="35" xfId="0" applyNumberFormat="1" applyFont="1" applyBorder="1" applyAlignment="1" applyProtection="1">
      <alignment horizontal="left"/>
      <protection locked="0"/>
    </xf>
    <xf numFmtId="41" fontId="24" fillId="0" borderId="1" xfId="0" applyNumberFormat="1" applyFont="1" applyBorder="1" applyAlignment="1" applyProtection="1">
      <alignment horizontal="left"/>
      <protection locked="0"/>
    </xf>
    <xf numFmtId="41" fontId="24" fillId="0" borderId="36" xfId="0" applyNumberFormat="1" applyFont="1" applyBorder="1" applyAlignment="1" applyProtection="1">
      <alignment horizontal="left"/>
      <protection locked="0"/>
    </xf>
    <xf numFmtId="41" fontId="24" fillId="0" borderId="14" xfId="0" applyNumberFormat="1" applyFont="1" applyBorder="1" applyAlignment="1" applyProtection="1">
      <alignment horizontal="left"/>
      <protection locked="0"/>
    </xf>
    <xf numFmtId="41" fontId="24" fillId="0" borderId="35" xfId="0" applyNumberFormat="1" applyFont="1" applyBorder="1" applyAlignment="1">
      <alignment horizontal="left"/>
    </xf>
    <xf numFmtId="41" fontId="28" fillId="0" borderId="0" xfId="0" applyNumberFormat="1" applyFont="1" applyAlignment="1">
      <alignment horizontal="left"/>
    </xf>
    <xf numFmtId="41" fontId="24" fillId="0" borderId="0" xfId="0" quotePrefix="1" applyNumberFormat="1" applyFont="1" applyAlignment="1">
      <alignment horizontal="left"/>
    </xf>
    <xf numFmtId="41" fontId="24" fillId="0" borderId="36" xfId="0" applyNumberFormat="1" applyFont="1" applyBorder="1" applyAlignment="1">
      <alignment horizontal="left"/>
    </xf>
    <xf numFmtId="41" fontId="24" fillId="0" borderId="37" xfId="0" applyNumberFormat="1" applyFont="1" applyBorder="1" applyAlignment="1">
      <alignment horizontal="left"/>
    </xf>
    <xf numFmtId="41" fontId="24" fillId="0" borderId="14" xfId="0" applyNumberFormat="1" applyFont="1" applyBorder="1" applyAlignment="1">
      <alignment horizontal="left"/>
    </xf>
    <xf numFmtId="41" fontId="24" fillId="0" borderId="37" xfId="0" applyNumberFormat="1" applyFont="1" applyBorder="1" applyAlignment="1" applyProtection="1">
      <alignment horizontal="left"/>
      <protection locked="0"/>
    </xf>
    <xf numFmtId="41" fontId="24" fillId="0" borderId="7" xfId="0" applyNumberFormat="1" applyFont="1" applyBorder="1" applyAlignment="1" applyProtection="1">
      <alignment horizontal="left"/>
      <protection locked="0"/>
    </xf>
    <xf numFmtId="41" fontId="36" fillId="0" borderId="34" xfId="0" applyNumberFormat="1" applyFont="1" applyBorder="1" applyAlignment="1" applyProtection="1">
      <alignment horizontal="left"/>
      <protection locked="0"/>
    </xf>
    <xf numFmtId="0" fontId="28" fillId="6" borderId="35" xfId="0" applyFont="1" applyFill="1" applyBorder="1" applyAlignment="1">
      <alignment horizontal="left"/>
    </xf>
    <xf numFmtId="41" fontId="24" fillId="6" borderId="39" xfId="0" applyNumberFormat="1" applyFont="1" applyFill="1" applyBorder="1"/>
    <xf numFmtId="0" fontId="28" fillId="6" borderId="39" xfId="0" applyFont="1" applyFill="1" applyBorder="1"/>
    <xf numFmtId="0" fontId="28" fillId="6" borderId="0" xfId="0" applyFont="1" applyFill="1" applyAlignment="1">
      <alignment horizontal="right"/>
    </xf>
    <xf numFmtId="41" fontId="28" fillId="6" borderId="39" xfId="0" applyNumberFormat="1" applyFont="1" applyFill="1" applyBorder="1" applyAlignment="1">
      <alignment horizontal="center"/>
    </xf>
    <xf numFmtId="10" fontId="28" fillId="0" borderId="1" xfId="0" applyNumberFormat="1" applyFont="1" applyBorder="1" applyAlignment="1">
      <alignment horizontal="center" wrapText="1"/>
    </xf>
    <xf numFmtId="41" fontId="24" fillId="0" borderId="34" xfId="0" applyNumberFormat="1" applyFont="1" applyBorder="1" applyAlignment="1">
      <alignment horizontal="center"/>
    </xf>
    <xf numFmtId="10" fontId="28" fillId="0" borderId="0" xfId="0" applyNumberFormat="1" applyFont="1" applyAlignment="1">
      <alignment horizontal="center" wrapText="1"/>
    </xf>
    <xf numFmtId="10" fontId="24" fillId="5" borderId="39" xfId="0" applyNumberFormat="1" applyFont="1" applyFill="1" applyBorder="1" applyAlignment="1">
      <alignment horizontal="center"/>
    </xf>
    <xf numFmtId="10" fontId="28" fillId="5" borderId="39" xfId="0" applyNumberFormat="1" applyFont="1" applyFill="1" applyBorder="1" applyAlignment="1">
      <alignment horizontal="center"/>
    </xf>
    <xf numFmtId="10" fontId="28" fillId="6" borderId="39" xfId="0" applyNumberFormat="1" applyFont="1" applyFill="1" applyBorder="1" applyAlignment="1">
      <alignment horizontal="center"/>
    </xf>
    <xf numFmtId="10" fontId="24" fillId="6" borderId="39" xfId="0" applyNumberFormat="1" applyFont="1" applyFill="1" applyBorder="1" applyAlignment="1">
      <alignment horizontal="center"/>
    </xf>
    <xf numFmtId="0" fontId="28" fillId="6" borderId="39" xfId="0" applyFont="1" applyFill="1" applyBorder="1" applyAlignment="1">
      <alignment horizontal="right"/>
    </xf>
    <xf numFmtId="10" fontId="28" fillId="4" borderId="39" xfId="0" applyNumberFormat="1" applyFont="1" applyFill="1" applyBorder="1" applyAlignment="1">
      <alignment horizontal="center"/>
    </xf>
    <xf numFmtId="169" fontId="2" fillId="6" borderId="39" xfId="2" applyNumberFormat="1" applyFont="1" applyFill="1" applyBorder="1"/>
    <xf numFmtId="169" fontId="2" fillId="4" borderId="39" xfId="2" applyNumberFormat="1" applyFont="1" applyFill="1" applyBorder="1"/>
    <xf numFmtId="10" fontId="0" fillId="0" borderId="0" xfId="0" applyNumberFormat="1" applyAlignment="1" applyProtection="1">
      <alignment horizontal="center"/>
      <protection locked="0"/>
    </xf>
    <xf numFmtId="10" fontId="0" fillId="6" borderId="39" xfId="0" applyNumberFormat="1" applyFill="1" applyBorder="1" applyAlignment="1" applyProtection="1">
      <alignment horizontal="center"/>
      <protection locked="0"/>
    </xf>
    <xf numFmtId="10" fontId="0" fillId="4" borderId="39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3" fontId="28" fillId="0" borderId="0" xfId="0" applyNumberFormat="1" applyFont="1" applyAlignment="1">
      <alignment horizontal="center" wrapText="1"/>
    </xf>
    <xf numFmtId="3" fontId="28" fillId="0" borderId="0" xfId="0" applyNumberFormat="1" applyFont="1" applyAlignment="1">
      <alignment horizontal="center"/>
    </xf>
    <xf numFmtId="43" fontId="28" fillId="0" borderId="0" xfId="0" applyNumberFormat="1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2" fillId="0" borderId="32" xfId="0" applyFont="1" applyBorder="1"/>
    <xf numFmtId="0" fontId="2" fillId="0" borderId="6" xfId="0" applyFont="1" applyBorder="1" applyAlignment="1">
      <alignment horizontal="center"/>
    </xf>
    <xf numFmtId="41" fontId="9" fillId="0" borderId="0" xfId="4" applyNumberFormat="1" applyFont="1" applyFill="1" applyBorder="1"/>
    <xf numFmtId="0" fontId="1" fillId="0" borderId="2" xfId="0" applyFont="1" applyBorder="1"/>
    <xf numFmtId="41" fontId="5" fillId="0" borderId="6" xfId="0" applyNumberFormat="1" applyFont="1" applyBorder="1"/>
    <xf numFmtId="0" fontId="21" fillId="0" borderId="2" xfId="0" applyFont="1" applyBorder="1"/>
    <xf numFmtId="164" fontId="7" fillId="0" borderId="0" xfId="2" applyNumberFormat="1" applyFont="1" applyFill="1" applyBorder="1" applyAlignment="1">
      <alignment horizontal="center"/>
    </xf>
    <xf numFmtId="166" fontId="5" fillId="0" borderId="0" xfId="2" applyNumberFormat="1" applyFont="1" applyFill="1" applyBorder="1"/>
    <xf numFmtId="0" fontId="5" fillId="0" borderId="5" xfId="0" applyFont="1" applyBorder="1"/>
    <xf numFmtId="166" fontId="5" fillId="0" borderId="1" xfId="2" applyNumberFormat="1" applyFont="1" applyFill="1" applyBorder="1"/>
    <xf numFmtId="41" fontId="2" fillId="0" borderId="1" xfId="2" applyNumberFormat="1" applyFont="1" applyFill="1" applyBorder="1" applyAlignment="1" applyProtection="1">
      <alignment horizontal="center" wrapText="1"/>
      <protection locked="0"/>
    </xf>
    <xf numFmtId="41" fontId="18" fillId="0" borderId="0" xfId="2" applyNumberFormat="1" applyFont="1" applyFill="1" applyBorder="1"/>
    <xf numFmtId="41" fontId="2" fillId="6" borderId="39" xfId="2" applyNumberFormat="1" applyFont="1" applyFill="1" applyBorder="1"/>
    <xf numFmtId="41" fontId="17" fillId="0" borderId="0" xfId="2" applyNumberFormat="1" applyFont="1" applyFill="1" applyBorder="1"/>
    <xf numFmtId="41" fontId="2" fillId="4" borderId="39" xfId="2" applyNumberFormat="1" applyFont="1" applyFill="1" applyBorder="1"/>
    <xf numFmtId="41" fontId="2" fillId="0" borderId="0" xfId="2" applyNumberFormat="1" applyFont="1" applyFill="1"/>
    <xf numFmtId="0" fontId="1" fillId="0" borderId="48" xfId="0" applyFont="1" applyBorder="1" applyAlignment="1">
      <alignment horizontal="center" wrapText="1"/>
    </xf>
    <xf numFmtId="0" fontId="1" fillId="0" borderId="47" xfId="0" applyFont="1" applyBorder="1"/>
    <xf numFmtId="42" fontId="1" fillId="0" borderId="48" xfId="0" applyNumberFormat="1" applyFont="1" applyBorder="1" applyAlignment="1">
      <alignment wrapText="1"/>
    </xf>
    <xf numFmtId="0" fontId="1" fillId="0" borderId="49" xfId="0" applyFont="1" applyBorder="1"/>
    <xf numFmtId="0" fontId="1" fillId="0" borderId="50" xfId="0" applyFont="1" applyBorder="1"/>
    <xf numFmtId="0" fontId="0" fillId="0" borderId="49" xfId="0" applyBorder="1"/>
    <xf numFmtId="0" fontId="0" fillId="0" borderId="50" xfId="0" applyBorder="1"/>
    <xf numFmtId="42" fontId="0" fillId="0" borderId="50" xfId="0" applyNumberFormat="1" applyBorder="1"/>
    <xf numFmtId="42" fontId="0" fillId="0" borderId="0" xfId="0" applyNumberFormat="1"/>
    <xf numFmtId="164" fontId="0" fillId="0" borderId="50" xfId="2" applyNumberFormat="1" applyFont="1" applyBorder="1"/>
    <xf numFmtId="10" fontId="0" fillId="0" borderId="50" xfId="0" applyNumberFormat="1" applyBorder="1"/>
    <xf numFmtId="164" fontId="1" fillId="0" borderId="50" xfId="2" applyNumberFormat="1" applyFont="1" applyFill="1" applyBorder="1"/>
    <xf numFmtId="164" fontId="1" fillId="0" borderId="50" xfId="2" applyNumberFormat="1" applyFont="1" applyBorder="1"/>
    <xf numFmtId="0" fontId="0" fillId="0" borderId="51" xfId="0" applyBorder="1"/>
    <xf numFmtId="164" fontId="1" fillId="0" borderId="52" xfId="2" applyNumberFormat="1" applyFont="1" applyFill="1" applyBorder="1"/>
    <xf numFmtId="42" fontId="0" fillId="0" borderId="36" xfId="0" applyNumberFormat="1" applyBorder="1"/>
    <xf numFmtId="10" fontId="0" fillId="0" borderId="52" xfId="0" applyNumberFormat="1" applyBorder="1"/>
    <xf numFmtId="42" fontId="0" fillId="0" borderId="52" xfId="0" applyNumberFormat="1" applyBorder="1"/>
    <xf numFmtId="10" fontId="0" fillId="0" borderId="0" xfId="0" applyNumberFormat="1"/>
    <xf numFmtId="41" fontId="16" fillId="7" borderId="0" xfId="2" applyNumberFormat="1" applyFont="1" applyFill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41" fontId="0" fillId="0" borderId="0" xfId="0" applyNumberFormat="1" applyAlignment="1">
      <alignment horizontal="center"/>
    </xf>
    <xf numFmtId="41" fontId="34" fillId="0" borderId="16" xfId="0" applyNumberFormat="1" applyFont="1" applyBorder="1" applyAlignment="1">
      <alignment horizontal="center" wrapText="1"/>
    </xf>
    <xf numFmtId="41" fontId="34" fillId="0" borderId="31" xfId="0" applyNumberFormat="1" applyFont="1" applyBorder="1" applyAlignment="1">
      <alignment horizontal="center"/>
    </xf>
    <xf numFmtId="41" fontId="34" fillId="0" borderId="0" xfId="0" applyNumberFormat="1" applyFont="1" applyAlignment="1">
      <alignment horizontal="center"/>
    </xf>
    <xf numFmtId="0" fontId="39" fillId="0" borderId="2" xfId="0" applyFont="1" applyBorder="1"/>
    <xf numFmtId="0" fontId="37" fillId="0" borderId="0" xfId="0" applyFont="1"/>
    <xf numFmtId="0" fontId="10" fillId="0" borderId="4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4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7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4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4" fillId="0" borderId="0" xfId="0" applyFont="1" applyFill="1"/>
    <xf numFmtId="41" fontId="24" fillId="0" borderId="0" xfId="0" applyNumberFormat="1" applyFont="1" applyFill="1" applyProtection="1">
      <protection locked="0"/>
    </xf>
    <xf numFmtId="41" fontId="24" fillId="0" borderId="0" xfId="0" applyNumberFormat="1" applyFont="1" applyFill="1" applyAlignment="1" applyProtection="1">
      <alignment horizontal="left"/>
      <protection locked="0"/>
    </xf>
    <xf numFmtId="41" fontId="24" fillId="0" borderId="34" xfId="0" applyNumberFormat="1" applyFont="1" applyFill="1" applyBorder="1" applyProtection="1">
      <protection locked="0"/>
    </xf>
    <xf numFmtId="0" fontId="1" fillId="0" borderId="0" xfId="0" applyFont="1" applyFill="1"/>
  </cellXfs>
  <cellStyles count="5">
    <cellStyle name="Comma" xfId="1" builtinId="3"/>
    <cellStyle name="Currency" xfId="2" builtinId="4"/>
    <cellStyle name="Normal" xfId="0" builtinId="0"/>
    <cellStyle name="Normal 2" xfId="3" xr:uid="{060F4D65-CF34-4569-BB9A-3DE1CAB390AA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1E6D-E866-491B-9ECD-42672208A3C5}">
  <sheetPr>
    <pageSetUpPr fitToPage="1"/>
  </sheetPr>
  <dimension ref="A1:N479"/>
  <sheetViews>
    <sheetView tabSelected="1" view="pageBreakPreview" zoomScaleNormal="115" zoomScaleSheetLayoutView="100" workbookViewId="0">
      <pane ySplit="1" topLeftCell="A465" activePane="bottomLeft" state="frozen"/>
      <selection pane="bottomLeft" activeCell="G470" sqref="G470"/>
    </sheetView>
  </sheetViews>
  <sheetFormatPr defaultColWidth="8.85546875" defaultRowHeight="18.95" customHeight="1" x14ac:dyDescent="0.2"/>
  <cols>
    <col min="1" max="1" width="15.28515625" style="145" customWidth="1"/>
    <col min="2" max="2" width="21.140625" style="145" customWidth="1"/>
    <col min="3" max="3" width="71.5703125" style="145" customWidth="1"/>
    <col min="4" max="5" width="13.7109375" style="141" customWidth="1"/>
    <col min="6" max="6" width="13.7109375" style="142" customWidth="1"/>
    <col min="7" max="7" width="13.7109375" style="141" customWidth="1"/>
    <col min="8" max="8" width="19.7109375" style="188" customWidth="1"/>
    <col min="9" max="9" width="7.42578125" style="188" customWidth="1"/>
    <col min="10" max="11" width="19.85546875" style="143" customWidth="1"/>
    <col min="12" max="12" width="11.28515625" style="144" customWidth="1"/>
    <col min="13" max="13" width="15.42578125" style="144" customWidth="1"/>
    <col min="14" max="14" width="8.85546875" style="145" customWidth="1"/>
    <col min="15" max="16384" width="8.85546875" style="145"/>
  </cols>
  <sheetData>
    <row r="1" spans="1:14" s="139" customFormat="1" ht="39.75" customHeight="1" thickBot="1" x14ac:dyDescent="0.3">
      <c r="A1" s="136" t="s">
        <v>31</v>
      </c>
      <c r="B1" s="136" t="s">
        <v>5</v>
      </c>
      <c r="C1" s="137" t="s">
        <v>619</v>
      </c>
      <c r="D1" s="137" t="s">
        <v>464</v>
      </c>
      <c r="E1" s="137" t="s">
        <v>621</v>
      </c>
      <c r="F1" s="137" t="s">
        <v>519</v>
      </c>
      <c r="G1" s="137" t="s">
        <v>619</v>
      </c>
      <c r="H1" s="258" t="s">
        <v>620</v>
      </c>
      <c r="I1" s="260"/>
      <c r="J1" s="273"/>
      <c r="K1" s="273"/>
      <c r="L1" s="138"/>
      <c r="M1" s="138"/>
    </row>
    <row r="2" spans="1:14" ht="18.95" customHeight="1" x14ac:dyDescent="0.25">
      <c r="A2" s="140" t="s">
        <v>586</v>
      </c>
      <c r="B2" s="140"/>
      <c r="C2" s="141"/>
      <c r="D2" s="142"/>
      <c r="E2" s="142"/>
      <c r="F2" s="141"/>
      <c r="G2" s="189"/>
      <c r="M2" s="145"/>
    </row>
    <row r="3" spans="1:14" ht="18.95" customHeight="1" x14ac:dyDescent="0.25">
      <c r="A3" s="140"/>
      <c r="B3" s="140" t="s">
        <v>591</v>
      </c>
      <c r="C3" s="141"/>
      <c r="D3" s="142"/>
      <c r="E3" s="142"/>
      <c r="F3" s="141"/>
      <c r="G3" s="157"/>
      <c r="M3" s="145"/>
    </row>
    <row r="4" spans="1:14" ht="18.95" customHeight="1" x14ac:dyDescent="0.2">
      <c r="B4" s="145" t="s">
        <v>32</v>
      </c>
      <c r="C4" s="145" t="s">
        <v>774</v>
      </c>
      <c r="D4" s="141">
        <v>353108</v>
      </c>
      <c r="E4" s="141">
        <v>375433</v>
      </c>
      <c r="F4" s="142">
        <v>375400</v>
      </c>
      <c r="G4" s="141">
        <v>406845</v>
      </c>
      <c r="H4" s="188">
        <f t="shared" ref="H4:H18" si="0">(G4-F4)/F4</f>
        <v>8.3763985082578582E-2</v>
      </c>
    </row>
    <row r="5" spans="1:14" ht="18.95" customHeight="1" x14ac:dyDescent="0.2">
      <c r="B5" s="145" t="s">
        <v>32</v>
      </c>
      <c r="C5" s="145" t="s">
        <v>853</v>
      </c>
      <c r="D5" s="141">
        <v>0</v>
      </c>
      <c r="E5" s="141">
        <v>0</v>
      </c>
      <c r="F5" s="142">
        <v>0</v>
      </c>
      <c r="G5" s="141">
        <v>5000</v>
      </c>
      <c r="H5" s="188">
        <v>1</v>
      </c>
    </row>
    <row r="6" spans="1:14" ht="18.95" customHeight="1" x14ac:dyDescent="0.2">
      <c r="B6" s="145" t="s">
        <v>32</v>
      </c>
      <c r="C6" s="145" t="s">
        <v>530</v>
      </c>
      <c r="D6" s="146">
        <v>0</v>
      </c>
      <c r="E6" s="146">
        <v>0</v>
      </c>
      <c r="F6" s="147">
        <v>168</v>
      </c>
      <c r="G6" s="146">
        <v>173.28</v>
      </c>
      <c r="H6" s="188">
        <f t="shared" si="0"/>
        <v>3.1428571428571438E-2</v>
      </c>
    </row>
    <row r="7" spans="1:14" ht="18.95" customHeight="1" x14ac:dyDescent="0.2">
      <c r="B7" s="145" t="s">
        <v>33</v>
      </c>
      <c r="C7" s="145" t="s">
        <v>587</v>
      </c>
      <c r="D7" s="146">
        <v>3000</v>
      </c>
      <c r="E7" s="146">
        <v>3492.27</v>
      </c>
      <c r="F7" s="147">
        <v>2187</v>
      </c>
      <c r="G7" s="146">
        <v>2249.52</v>
      </c>
      <c r="H7" s="188">
        <f t="shared" si="0"/>
        <v>2.8587105624142652E-2</v>
      </c>
    </row>
    <row r="8" spans="1:14" ht="18.95" customHeight="1" x14ac:dyDescent="0.2">
      <c r="B8" s="145" t="s">
        <v>35</v>
      </c>
      <c r="C8" s="145" t="s">
        <v>260</v>
      </c>
      <c r="D8" s="146">
        <v>10000</v>
      </c>
      <c r="E8" s="146">
        <v>11089.15</v>
      </c>
      <c r="F8" s="147">
        <v>10000</v>
      </c>
      <c r="G8" s="146">
        <v>10000</v>
      </c>
      <c r="H8" s="188">
        <f t="shared" si="0"/>
        <v>0</v>
      </c>
    </row>
    <row r="9" spans="1:14" ht="18.95" customHeight="1" x14ac:dyDescent="0.2">
      <c r="B9" s="145" t="s">
        <v>34</v>
      </c>
      <c r="C9" s="145" t="s">
        <v>259</v>
      </c>
      <c r="D9" s="146">
        <v>5000</v>
      </c>
      <c r="E9" s="146">
        <v>5000</v>
      </c>
      <c r="F9" s="147">
        <v>5000</v>
      </c>
      <c r="G9" s="146">
        <v>5000</v>
      </c>
      <c r="H9" s="188">
        <f t="shared" si="0"/>
        <v>0</v>
      </c>
    </row>
    <row r="10" spans="1:14" ht="18.95" customHeight="1" x14ac:dyDescent="0.2">
      <c r="B10" s="145" t="s">
        <v>757</v>
      </c>
      <c r="C10" s="145" t="s">
        <v>30</v>
      </c>
      <c r="D10" s="146">
        <v>0</v>
      </c>
      <c r="E10" s="146">
        <v>0</v>
      </c>
      <c r="F10" s="147">
        <v>0</v>
      </c>
      <c r="G10" s="146">
        <v>1000</v>
      </c>
      <c r="H10" s="188">
        <v>0</v>
      </c>
    </row>
    <row r="11" spans="1:14" ht="18.95" customHeight="1" x14ac:dyDescent="0.2">
      <c r="B11" s="145" t="s">
        <v>36</v>
      </c>
      <c r="C11" s="145" t="s">
        <v>598</v>
      </c>
      <c r="D11" s="146">
        <v>10000</v>
      </c>
      <c r="E11" s="146">
        <v>10146.27</v>
      </c>
      <c r="F11" s="147">
        <v>10000</v>
      </c>
      <c r="G11" s="146">
        <v>10000</v>
      </c>
      <c r="H11" s="188">
        <f t="shared" si="0"/>
        <v>0</v>
      </c>
    </row>
    <row r="12" spans="1:14" ht="18.95" customHeight="1" x14ac:dyDescent="0.2">
      <c r="B12" s="145" t="s">
        <v>37</v>
      </c>
      <c r="C12" s="145" t="s">
        <v>275</v>
      </c>
      <c r="D12" s="146">
        <v>29345</v>
      </c>
      <c r="E12" s="146">
        <v>31815</v>
      </c>
      <c r="F12" s="147">
        <v>30242</v>
      </c>
      <c r="G12" s="146">
        <v>32746</v>
      </c>
      <c r="H12" s="188">
        <f t="shared" si="0"/>
        <v>8.2798756695985715E-2</v>
      </c>
      <c r="N12" s="148"/>
    </row>
    <row r="13" spans="1:14" ht="18.95" customHeight="1" x14ac:dyDescent="0.2">
      <c r="B13" s="145" t="s">
        <v>549</v>
      </c>
      <c r="C13" s="145" t="s">
        <v>550</v>
      </c>
      <c r="D13" s="147">
        <v>0</v>
      </c>
      <c r="E13" s="146">
        <v>1657.07</v>
      </c>
      <c r="F13" s="147">
        <f>SUM(F4:F11)*0.44%</f>
        <v>1772.1220000000001</v>
      </c>
      <c r="G13" s="147">
        <f>SUM(G4:G11)*0.44%</f>
        <v>1937.1783200000002</v>
      </c>
      <c r="H13" s="188">
        <f>(G13-F13)/F13</f>
        <v>9.3140494841777333E-2</v>
      </c>
      <c r="N13" s="148"/>
    </row>
    <row r="14" spans="1:14" ht="18.95" customHeight="1" x14ac:dyDescent="0.2">
      <c r="B14" s="145" t="s">
        <v>38</v>
      </c>
      <c r="C14" s="145" t="s">
        <v>588</v>
      </c>
      <c r="D14" s="146">
        <v>22646</v>
      </c>
      <c r="E14" s="146">
        <v>24934</v>
      </c>
      <c r="F14" s="147">
        <v>24996</v>
      </c>
      <c r="G14" s="146">
        <v>29768</v>
      </c>
      <c r="H14" s="188">
        <f t="shared" si="0"/>
        <v>0.19091054568730997</v>
      </c>
    </row>
    <row r="15" spans="1:14" ht="18.95" customHeight="1" x14ac:dyDescent="0.2">
      <c r="B15" s="145" t="s">
        <v>39</v>
      </c>
      <c r="C15" s="145" t="s">
        <v>590</v>
      </c>
      <c r="D15" s="146">
        <v>23611</v>
      </c>
      <c r="E15" s="146">
        <v>30560.82</v>
      </c>
      <c r="F15" s="147">
        <v>39522</v>
      </c>
      <c r="G15" s="146">
        <v>58377</v>
      </c>
      <c r="H15" s="188">
        <f t="shared" si="0"/>
        <v>0.47707605890390165</v>
      </c>
    </row>
    <row r="16" spans="1:14" ht="18.95" customHeight="1" x14ac:dyDescent="0.2">
      <c r="B16" s="145" t="s">
        <v>40</v>
      </c>
      <c r="C16" s="145" t="s">
        <v>535</v>
      </c>
      <c r="D16" s="146">
        <v>901</v>
      </c>
      <c r="E16" s="146">
        <v>559.52</v>
      </c>
      <c r="F16" s="147">
        <v>368</v>
      </c>
      <c r="G16" s="146">
        <v>0</v>
      </c>
      <c r="H16" s="188">
        <f t="shared" si="0"/>
        <v>-1</v>
      </c>
    </row>
    <row r="17" spans="1:13" ht="18.95" customHeight="1" x14ac:dyDescent="0.2">
      <c r="B17" s="145" t="s">
        <v>758</v>
      </c>
      <c r="C17" s="145" t="s">
        <v>589</v>
      </c>
      <c r="D17" s="146">
        <v>0</v>
      </c>
      <c r="E17" s="146">
        <v>0</v>
      </c>
      <c r="F17" s="147">
        <v>0</v>
      </c>
      <c r="G17" s="146">
        <v>1798</v>
      </c>
      <c r="H17" s="188">
        <v>1</v>
      </c>
    </row>
    <row r="18" spans="1:13" ht="18.95" customHeight="1" thickBot="1" x14ac:dyDescent="0.25">
      <c r="B18" s="145" t="s">
        <v>41</v>
      </c>
      <c r="C18" s="145" t="s">
        <v>811</v>
      </c>
      <c r="D18" s="141">
        <v>1740</v>
      </c>
      <c r="E18" s="141">
        <v>1694.82</v>
      </c>
      <c r="F18" s="142">
        <v>2160</v>
      </c>
      <c r="G18" s="141">
        <v>1860</v>
      </c>
      <c r="H18" s="188">
        <f t="shared" si="0"/>
        <v>-0.1388888888888889</v>
      </c>
    </row>
    <row r="19" spans="1:13" s="140" customFormat="1" ht="18.95" customHeight="1" thickTop="1" thickBot="1" x14ac:dyDescent="0.3">
      <c r="C19" s="150" t="s">
        <v>592</v>
      </c>
      <c r="D19" s="176">
        <f>SUM(D3:D18)</f>
        <v>459351</v>
      </c>
      <c r="E19" s="176">
        <f>SUM(E3:E18)</f>
        <v>496381.9200000001</v>
      </c>
      <c r="F19" s="176">
        <f>SUM(F3:F18)</f>
        <v>501815.12199999997</v>
      </c>
      <c r="G19" s="176">
        <f>SUM(G4:G18)</f>
        <v>566753.97831999999</v>
      </c>
      <c r="H19" s="262">
        <f>(G19-F19)/F19</f>
        <v>0.12940793027755754</v>
      </c>
      <c r="I19" s="188"/>
      <c r="J19" s="165"/>
      <c r="K19" s="165"/>
      <c r="L19" s="151"/>
      <c r="M19" s="151"/>
    </row>
    <row r="20" spans="1:13" ht="18.95" customHeight="1" thickTop="1" x14ac:dyDescent="0.25">
      <c r="A20" s="140"/>
      <c r="B20" s="140" t="s">
        <v>578</v>
      </c>
      <c r="C20" s="141"/>
      <c r="D20" s="142"/>
      <c r="E20" s="142"/>
      <c r="F20" s="141"/>
      <c r="G20" s="189"/>
      <c r="M20" s="145"/>
    </row>
    <row r="21" spans="1:13" ht="18.95" customHeight="1" x14ac:dyDescent="0.2">
      <c r="B21" s="145" t="s">
        <v>43</v>
      </c>
      <c r="C21" s="145" t="s">
        <v>624</v>
      </c>
      <c r="D21" s="141">
        <v>350</v>
      </c>
      <c r="E21" s="141">
        <v>185</v>
      </c>
      <c r="F21" s="142">
        <v>100</v>
      </c>
      <c r="G21" s="141">
        <v>200</v>
      </c>
      <c r="H21" s="188">
        <f>(G21-F21)/F21</f>
        <v>1</v>
      </c>
    </row>
    <row r="22" spans="1:13" ht="18.95" customHeight="1" x14ac:dyDescent="0.2">
      <c r="B22" s="145" t="s">
        <v>45</v>
      </c>
      <c r="C22" s="145" t="s">
        <v>775</v>
      </c>
      <c r="D22" s="146">
        <v>5000</v>
      </c>
      <c r="E22" s="146">
        <v>769</v>
      </c>
      <c r="F22" s="147">
        <v>5000</v>
      </c>
      <c r="G22" s="146">
        <v>2000</v>
      </c>
      <c r="H22" s="188">
        <f>(G22-F22)/F22</f>
        <v>-0.6</v>
      </c>
    </row>
    <row r="23" spans="1:13" ht="18.95" customHeight="1" x14ac:dyDescent="0.2">
      <c r="B23" s="145" t="s">
        <v>46</v>
      </c>
      <c r="C23" s="145" t="s">
        <v>277</v>
      </c>
      <c r="D23" s="146">
        <v>400</v>
      </c>
      <c r="E23" s="146">
        <v>408.1</v>
      </c>
      <c r="F23" s="147">
        <v>400</v>
      </c>
      <c r="G23" s="146">
        <v>450</v>
      </c>
      <c r="H23" s="188">
        <f>(G23-F23)/F23</f>
        <v>0.125</v>
      </c>
    </row>
    <row r="24" spans="1:13" ht="18.95" customHeight="1" thickBot="1" x14ac:dyDescent="0.25">
      <c r="B24" s="145" t="s">
        <v>44</v>
      </c>
      <c r="C24" s="145" t="s">
        <v>776</v>
      </c>
      <c r="D24" s="149">
        <v>2000</v>
      </c>
      <c r="E24" s="149">
        <v>3539.03</v>
      </c>
      <c r="F24" s="240">
        <v>2500</v>
      </c>
      <c r="G24" s="141">
        <v>3500</v>
      </c>
      <c r="H24" s="188">
        <f>(G24-F24)/F24</f>
        <v>0.4</v>
      </c>
    </row>
    <row r="25" spans="1:13" s="140" customFormat="1" ht="18.95" customHeight="1" thickTop="1" thickBot="1" x14ac:dyDescent="0.3">
      <c r="C25" s="150" t="s">
        <v>592</v>
      </c>
      <c r="D25" s="176">
        <f t="shared" ref="D25:F25" si="1">SUM(D21:D24)</f>
        <v>7750</v>
      </c>
      <c r="E25" s="176">
        <f t="shared" si="1"/>
        <v>4901.13</v>
      </c>
      <c r="F25" s="176">
        <f t="shared" si="1"/>
        <v>8000</v>
      </c>
      <c r="G25" s="176">
        <f>SUM(G21:G24)</f>
        <v>6150</v>
      </c>
      <c r="H25" s="262">
        <f>(G25-F25)/F25</f>
        <v>-0.23125000000000001</v>
      </c>
      <c r="I25" s="188"/>
      <c r="J25" s="274"/>
      <c r="K25" s="274"/>
      <c r="L25" s="151"/>
      <c r="M25" s="151"/>
    </row>
    <row r="26" spans="1:13" ht="18.95" customHeight="1" thickTop="1" x14ac:dyDescent="0.25">
      <c r="A26" s="140"/>
      <c r="B26" s="140" t="s">
        <v>593</v>
      </c>
      <c r="C26" s="141"/>
      <c r="D26" s="142"/>
      <c r="E26" s="142"/>
      <c r="F26" s="141"/>
      <c r="G26" s="189"/>
      <c r="M26" s="145"/>
    </row>
    <row r="27" spans="1:13" ht="18.95" customHeight="1" x14ac:dyDescent="0.2">
      <c r="B27" s="145" t="s">
        <v>70</v>
      </c>
      <c r="C27" s="145" t="s">
        <v>270</v>
      </c>
      <c r="D27" s="141">
        <v>19280</v>
      </c>
      <c r="E27" s="141">
        <v>15357.7</v>
      </c>
      <c r="F27" s="142">
        <v>11370</v>
      </c>
      <c r="G27" s="141">
        <v>11939</v>
      </c>
      <c r="H27" s="188">
        <f>(G27-F27)/F27</f>
        <v>5.0043975373790676E-2</v>
      </c>
    </row>
    <row r="28" spans="1:13" ht="18.95" customHeight="1" x14ac:dyDescent="0.2">
      <c r="B28" s="145" t="s">
        <v>42</v>
      </c>
      <c r="C28" s="145" t="s">
        <v>777</v>
      </c>
      <c r="D28" s="146">
        <v>2500</v>
      </c>
      <c r="E28" s="146">
        <v>2690</v>
      </c>
      <c r="F28" s="147">
        <v>3500</v>
      </c>
      <c r="G28" s="146">
        <v>3500</v>
      </c>
      <c r="H28" s="188">
        <f t="shared" ref="H28:H37" si="2">(G28-F28)/F28</f>
        <v>0</v>
      </c>
    </row>
    <row r="29" spans="1:13" ht="18.95" customHeight="1" x14ac:dyDescent="0.2">
      <c r="B29" s="145" t="s">
        <v>50</v>
      </c>
      <c r="C29" s="145" t="s">
        <v>778</v>
      </c>
      <c r="D29" s="146">
        <v>8000</v>
      </c>
      <c r="E29" s="146">
        <v>7306.88</v>
      </c>
      <c r="F29" s="147">
        <v>8000</v>
      </c>
      <c r="G29" s="146">
        <v>7500</v>
      </c>
      <c r="H29" s="188">
        <f t="shared" si="2"/>
        <v>-6.25E-2</v>
      </c>
    </row>
    <row r="30" spans="1:13" ht="18.95" customHeight="1" x14ac:dyDescent="0.2">
      <c r="B30" s="145" t="s">
        <v>71</v>
      </c>
      <c r="C30" s="145" t="s">
        <v>779</v>
      </c>
      <c r="D30" s="146">
        <v>8155</v>
      </c>
      <c r="E30" s="146">
        <v>7289.53</v>
      </c>
      <c r="F30" s="147">
        <v>10279</v>
      </c>
      <c r="G30" s="146">
        <v>10279</v>
      </c>
      <c r="H30" s="188">
        <f t="shared" si="2"/>
        <v>0</v>
      </c>
    </row>
    <row r="31" spans="1:13" ht="18.95" customHeight="1" x14ac:dyDescent="0.2">
      <c r="B31" s="145" t="s">
        <v>67</v>
      </c>
      <c r="C31" s="145" t="s">
        <v>268</v>
      </c>
      <c r="D31" s="146">
        <v>30000</v>
      </c>
      <c r="E31" s="146">
        <v>39346.44</v>
      </c>
      <c r="F31" s="147">
        <v>35000</v>
      </c>
      <c r="G31" s="146">
        <v>40000</v>
      </c>
      <c r="H31" s="188">
        <f t="shared" si="2"/>
        <v>0.14285714285714285</v>
      </c>
    </row>
    <row r="32" spans="1:13" ht="18.95" customHeight="1" x14ac:dyDescent="0.2">
      <c r="B32" s="145" t="s">
        <v>69</v>
      </c>
      <c r="C32" s="145" t="s">
        <v>269</v>
      </c>
      <c r="D32" s="146">
        <v>1500</v>
      </c>
      <c r="E32" s="146">
        <v>0</v>
      </c>
      <c r="F32" s="147">
        <v>1000</v>
      </c>
      <c r="G32" s="146">
        <v>1000</v>
      </c>
      <c r="H32" s="188">
        <f t="shared" si="2"/>
        <v>0</v>
      </c>
    </row>
    <row r="33" spans="1:13" ht="18.95" customHeight="1" x14ac:dyDescent="0.2">
      <c r="B33" s="145" t="s">
        <v>73</v>
      </c>
      <c r="C33" s="145" t="s">
        <v>781</v>
      </c>
      <c r="D33" s="146">
        <v>500</v>
      </c>
      <c r="E33" s="146">
        <v>0</v>
      </c>
      <c r="F33" s="147">
        <v>0</v>
      </c>
      <c r="G33" s="146">
        <v>1293</v>
      </c>
      <c r="H33" s="188">
        <v>0</v>
      </c>
    </row>
    <row r="34" spans="1:13" ht="18.95" customHeight="1" x14ac:dyDescent="0.2">
      <c r="B34" s="145" t="s">
        <v>74</v>
      </c>
      <c r="C34" s="145" t="s">
        <v>271</v>
      </c>
      <c r="D34" s="146">
        <v>1000</v>
      </c>
      <c r="E34" s="146">
        <v>369</v>
      </c>
      <c r="F34" s="147">
        <v>750</v>
      </c>
      <c r="G34" s="146">
        <v>500</v>
      </c>
      <c r="H34" s="188">
        <f t="shared" si="2"/>
        <v>-0.33333333333333331</v>
      </c>
    </row>
    <row r="35" spans="1:13" ht="18.95" customHeight="1" x14ac:dyDescent="0.2">
      <c r="B35" s="145" t="s">
        <v>75</v>
      </c>
      <c r="C35" s="145" t="s">
        <v>782</v>
      </c>
      <c r="D35" s="146">
        <v>55000</v>
      </c>
      <c r="E35" s="146">
        <v>50681</v>
      </c>
      <c r="F35" s="147">
        <v>38033</v>
      </c>
      <c r="G35" s="147">
        <f>'FY27 Fire Protection'!G5</f>
        <v>37488.199999999997</v>
      </c>
      <c r="H35" s="188">
        <f t="shared" si="2"/>
        <v>-1.4324402492572316E-2</v>
      </c>
    </row>
    <row r="36" spans="1:13" ht="18.95" customHeight="1" thickBot="1" x14ac:dyDescent="0.25">
      <c r="B36" s="145" t="s">
        <v>72</v>
      </c>
      <c r="C36" s="145" t="s">
        <v>783</v>
      </c>
      <c r="D36" s="152">
        <v>27000</v>
      </c>
      <c r="E36" s="152">
        <v>30315</v>
      </c>
      <c r="F36" s="241">
        <v>27000</v>
      </c>
      <c r="G36" s="141">
        <v>30000</v>
      </c>
      <c r="H36" s="188">
        <f t="shared" si="2"/>
        <v>0.1111111111111111</v>
      </c>
    </row>
    <row r="37" spans="1:13" s="140" customFormat="1" ht="18.95" customHeight="1" thickTop="1" thickBot="1" x14ac:dyDescent="0.3">
      <c r="C37" s="150" t="s">
        <v>592</v>
      </c>
      <c r="D37" s="176">
        <f t="shared" ref="D37:F37" si="3">SUM(D27:D36)</f>
        <v>152935</v>
      </c>
      <c r="E37" s="176">
        <f t="shared" si="3"/>
        <v>153355.54999999999</v>
      </c>
      <c r="F37" s="176">
        <f t="shared" si="3"/>
        <v>134932</v>
      </c>
      <c r="G37" s="176">
        <f>SUM(G27:G36)</f>
        <v>143499.20000000001</v>
      </c>
      <c r="H37" s="261">
        <f t="shared" si="2"/>
        <v>6.349272226010147E-2</v>
      </c>
      <c r="I37" s="188"/>
      <c r="J37" s="274"/>
      <c r="K37" s="274"/>
      <c r="L37" s="151"/>
      <c r="M37" s="151"/>
    </row>
    <row r="38" spans="1:13" ht="18.95" customHeight="1" thickTop="1" x14ac:dyDescent="0.25">
      <c r="A38" s="140"/>
      <c r="B38" s="140" t="s">
        <v>580</v>
      </c>
      <c r="C38" s="141"/>
      <c r="D38" s="142"/>
      <c r="E38" s="142"/>
      <c r="F38" s="141"/>
      <c r="G38" s="189"/>
      <c r="M38" s="145"/>
    </row>
    <row r="39" spans="1:13" ht="18.95" customHeight="1" x14ac:dyDescent="0.2">
      <c r="B39" s="145" t="s">
        <v>49</v>
      </c>
      <c r="C39" s="145" t="s">
        <v>784</v>
      </c>
      <c r="D39" s="153">
        <v>3000</v>
      </c>
      <c r="E39" s="153">
        <v>2856.66</v>
      </c>
      <c r="F39" s="242">
        <v>3000</v>
      </c>
      <c r="G39" s="153">
        <v>3000</v>
      </c>
      <c r="H39" s="188">
        <f>(G39-F39)/F39</f>
        <v>0</v>
      </c>
    </row>
    <row r="40" spans="1:13" ht="18.95" customHeight="1" thickBot="1" x14ac:dyDescent="0.25">
      <c r="B40" s="145" t="s">
        <v>53</v>
      </c>
      <c r="C40" s="145" t="s">
        <v>278</v>
      </c>
      <c r="D40" s="141">
        <v>9000</v>
      </c>
      <c r="E40" s="141">
        <v>7412.01</v>
      </c>
      <c r="F40" s="142">
        <v>9500</v>
      </c>
      <c r="G40" s="141">
        <v>9500</v>
      </c>
      <c r="H40" s="188">
        <f>(G40-F40)/F40</f>
        <v>0</v>
      </c>
    </row>
    <row r="41" spans="1:13" s="140" customFormat="1" ht="18.95" customHeight="1" thickTop="1" thickBot="1" x14ac:dyDescent="0.3">
      <c r="C41" s="150" t="s">
        <v>592</v>
      </c>
      <c r="D41" s="176">
        <f t="shared" ref="D41:F41" si="4">SUM(D39:D40)</f>
        <v>12000</v>
      </c>
      <c r="E41" s="176">
        <f t="shared" si="4"/>
        <v>10268.67</v>
      </c>
      <c r="F41" s="176">
        <f t="shared" si="4"/>
        <v>12500</v>
      </c>
      <c r="G41" s="176">
        <f>SUM(G39:G40)</f>
        <v>12500</v>
      </c>
      <c r="H41" s="262">
        <f>(G41-F41)/F41</f>
        <v>0</v>
      </c>
      <c r="I41" s="188"/>
      <c r="J41" s="274"/>
      <c r="K41" s="274"/>
      <c r="L41" s="151"/>
      <c r="M41" s="151"/>
    </row>
    <row r="42" spans="1:13" ht="18.95" customHeight="1" thickTop="1" x14ac:dyDescent="0.25">
      <c r="B42" s="140" t="s">
        <v>594</v>
      </c>
    </row>
    <row r="43" spans="1:13" ht="18.95" customHeight="1" x14ac:dyDescent="0.2">
      <c r="B43" s="145" t="s">
        <v>57</v>
      </c>
      <c r="C43" s="145" t="s">
        <v>785</v>
      </c>
      <c r="D43" s="141">
        <v>8000</v>
      </c>
      <c r="E43" s="141">
        <v>1927</v>
      </c>
      <c r="F43" s="142">
        <v>5000</v>
      </c>
      <c r="G43" s="141">
        <v>5000</v>
      </c>
      <c r="H43" s="188">
        <f>(G43-F43)/F43</f>
        <v>0</v>
      </c>
    </row>
    <row r="44" spans="1:13" ht="18.95" customHeight="1" x14ac:dyDescent="0.2">
      <c r="B44" s="145" t="s">
        <v>47</v>
      </c>
      <c r="C44" s="145" t="s">
        <v>786</v>
      </c>
      <c r="D44" s="146">
        <v>2500</v>
      </c>
      <c r="E44" s="146">
        <v>726.93</v>
      </c>
      <c r="F44" s="147">
        <v>4000</v>
      </c>
      <c r="G44" s="146">
        <v>2500</v>
      </c>
      <c r="H44" s="188">
        <f>(G44-F44)/F44</f>
        <v>-0.375</v>
      </c>
    </row>
    <row r="45" spans="1:13" ht="18.95" customHeight="1" thickBot="1" x14ac:dyDescent="0.25">
      <c r="B45" s="145" t="s">
        <v>48</v>
      </c>
      <c r="C45" s="145" t="s">
        <v>787</v>
      </c>
      <c r="D45" s="141">
        <v>3000</v>
      </c>
      <c r="E45" s="141">
        <v>4944</v>
      </c>
      <c r="F45" s="142">
        <v>4000</v>
      </c>
      <c r="G45" s="141">
        <v>5000</v>
      </c>
      <c r="H45" s="188">
        <f>(G45-F45)/F45</f>
        <v>0.25</v>
      </c>
    </row>
    <row r="46" spans="1:13" s="140" customFormat="1" ht="18.95" customHeight="1" thickTop="1" thickBot="1" x14ac:dyDescent="0.3">
      <c r="C46" s="150" t="s">
        <v>592</v>
      </c>
      <c r="D46" s="176">
        <f>SUM(D43:D45)</f>
        <v>13500</v>
      </c>
      <c r="E46" s="176">
        <f t="shared" ref="E46:G46" si="5">SUM(E43:E45)</f>
        <v>7597.93</v>
      </c>
      <c r="F46" s="176">
        <f t="shared" si="5"/>
        <v>13000</v>
      </c>
      <c r="G46" s="176">
        <f t="shared" si="5"/>
        <v>12500</v>
      </c>
      <c r="H46" s="262">
        <f>(G46-F46)/F46</f>
        <v>-3.8461538461538464E-2</v>
      </c>
      <c r="I46" s="188"/>
      <c r="J46" s="274"/>
      <c r="K46" s="274"/>
      <c r="L46" s="151"/>
      <c r="M46" s="151"/>
    </row>
    <row r="47" spans="1:13" ht="18.95" customHeight="1" thickTop="1" x14ac:dyDescent="0.25">
      <c r="A47" s="140"/>
      <c r="B47" s="140" t="s">
        <v>581</v>
      </c>
      <c r="C47" s="141"/>
      <c r="D47" s="142"/>
      <c r="E47" s="142"/>
      <c r="F47" s="141"/>
      <c r="G47" s="189"/>
      <c r="M47" s="145"/>
    </row>
    <row r="48" spans="1:13" ht="18.95" customHeight="1" x14ac:dyDescent="0.2">
      <c r="B48" s="145" t="s">
        <v>52</v>
      </c>
      <c r="C48" s="145" t="s">
        <v>261</v>
      </c>
      <c r="D48" s="141">
        <v>9500</v>
      </c>
      <c r="E48" s="141">
        <v>6620.13</v>
      </c>
      <c r="F48" s="142">
        <v>9500</v>
      </c>
      <c r="G48" s="141">
        <v>7000</v>
      </c>
      <c r="H48" s="188">
        <f t="shared" ref="H48:H54" si="6">(G48-F48)/F48</f>
        <v>-0.26315789473684209</v>
      </c>
    </row>
    <row r="49" spans="1:13" ht="18.95" customHeight="1" x14ac:dyDescent="0.2">
      <c r="B49" s="145" t="s">
        <v>497</v>
      </c>
      <c r="C49" s="145" t="s">
        <v>496</v>
      </c>
      <c r="D49" s="146">
        <v>1000</v>
      </c>
      <c r="E49" s="146">
        <v>917.36</v>
      </c>
      <c r="F49" s="147">
        <v>1000</v>
      </c>
      <c r="G49" s="146">
        <v>1000</v>
      </c>
      <c r="H49" s="188">
        <f t="shared" si="6"/>
        <v>0</v>
      </c>
    </row>
    <row r="50" spans="1:13" ht="18.95" customHeight="1" x14ac:dyDescent="0.2">
      <c r="B50" s="145" t="s">
        <v>60</v>
      </c>
      <c r="C50" s="145" t="s">
        <v>262</v>
      </c>
      <c r="D50" s="146">
        <v>10500</v>
      </c>
      <c r="E50" s="146">
        <v>7453.02</v>
      </c>
      <c r="F50" s="147">
        <v>10500</v>
      </c>
      <c r="G50" s="146">
        <v>10000</v>
      </c>
      <c r="H50" s="188">
        <f t="shared" si="6"/>
        <v>-4.7619047619047616E-2</v>
      </c>
    </row>
    <row r="51" spans="1:13" ht="18.95" customHeight="1" x14ac:dyDescent="0.2">
      <c r="B51" s="145" t="s">
        <v>61</v>
      </c>
      <c r="C51" s="145" t="s">
        <v>263</v>
      </c>
      <c r="D51" s="146">
        <v>13500</v>
      </c>
      <c r="E51" s="146">
        <v>11505.94</v>
      </c>
      <c r="F51" s="147">
        <v>14000</v>
      </c>
      <c r="G51" s="146">
        <v>12000</v>
      </c>
      <c r="H51" s="188">
        <f t="shared" si="6"/>
        <v>-0.14285714285714285</v>
      </c>
    </row>
    <row r="52" spans="1:13" ht="18.95" customHeight="1" x14ac:dyDescent="0.2">
      <c r="B52" s="145" t="s">
        <v>62</v>
      </c>
      <c r="C52" s="145" t="s">
        <v>265</v>
      </c>
      <c r="D52" s="146">
        <v>8000</v>
      </c>
      <c r="E52" s="146">
        <v>4641.51</v>
      </c>
      <c r="F52" s="147">
        <v>6500</v>
      </c>
      <c r="G52" s="146">
        <v>5000</v>
      </c>
      <c r="H52" s="188">
        <f t="shared" si="6"/>
        <v>-0.23076923076923078</v>
      </c>
    </row>
    <row r="53" spans="1:13" ht="18.95" customHeight="1" thickBot="1" x14ac:dyDescent="0.25">
      <c r="B53" s="145" t="s">
        <v>63</v>
      </c>
      <c r="C53" s="145" t="s">
        <v>266</v>
      </c>
      <c r="D53" s="141">
        <v>2500</v>
      </c>
      <c r="E53" s="141">
        <v>2452.94</v>
      </c>
      <c r="F53" s="142">
        <v>3000</v>
      </c>
      <c r="G53" s="141">
        <v>3000</v>
      </c>
      <c r="H53" s="188">
        <f t="shared" si="6"/>
        <v>0</v>
      </c>
    </row>
    <row r="54" spans="1:13" s="140" customFormat="1" ht="18.95" customHeight="1" thickTop="1" thickBot="1" x14ac:dyDescent="0.3">
      <c r="C54" s="150" t="s">
        <v>592</v>
      </c>
      <c r="D54" s="176">
        <f t="shared" ref="D54:F54" si="7">SUM(D48:D53)</f>
        <v>45000</v>
      </c>
      <c r="E54" s="176">
        <f t="shared" si="7"/>
        <v>33590.9</v>
      </c>
      <c r="F54" s="176">
        <f t="shared" si="7"/>
        <v>44500</v>
      </c>
      <c r="G54" s="176">
        <f>SUM(G48:G53)</f>
        <v>38000</v>
      </c>
      <c r="H54" s="262">
        <f t="shared" si="6"/>
        <v>-0.14606741573033707</v>
      </c>
      <c r="I54" s="188"/>
      <c r="J54" s="274"/>
      <c r="K54" s="274"/>
      <c r="L54" s="151"/>
      <c r="M54" s="151"/>
    </row>
    <row r="55" spans="1:13" ht="18.95" customHeight="1" thickTop="1" x14ac:dyDescent="0.25">
      <c r="A55" s="140"/>
      <c r="B55" s="140" t="s">
        <v>599</v>
      </c>
      <c r="C55" s="141"/>
      <c r="D55" s="142"/>
      <c r="E55" s="142"/>
      <c r="F55" s="141"/>
      <c r="G55" s="189"/>
      <c r="M55" s="145"/>
    </row>
    <row r="56" spans="1:13" ht="18.95" customHeight="1" x14ac:dyDescent="0.2">
      <c r="B56" s="145" t="s">
        <v>54</v>
      </c>
      <c r="C56" s="145" t="s">
        <v>788</v>
      </c>
      <c r="D56" s="141">
        <v>4000</v>
      </c>
      <c r="E56" s="141">
        <v>3778.95</v>
      </c>
      <c r="F56" s="142">
        <v>3500</v>
      </c>
      <c r="G56" s="141">
        <v>4000</v>
      </c>
      <c r="H56" s="188">
        <f t="shared" ref="H56:H62" si="8">(G56-F56)/F56</f>
        <v>0.14285714285714285</v>
      </c>
    </row>
    <row r="57" spans="1:13" ht="18.95" customHeight="1" x14ac:dyDescent="0.2">
      <c r="B57" s="145" t="s">
        <v>55</v>
      </c>
      <c r="C57" s="145" t="s">
        <v>789</v>
      </c>
      <c r="D57" s="146">
        <v>3000</v>
      </c>
      <c r="E57" s="146">
        <v>4613.7</v>
      </c>
      <c r="F57" s="147">
        <v>4500</v>
      </c>
      <c r="G57" s="146">
        <v>4500</v>
      </c>
      <c r="H57" s="188">
        <f t="shared" si="8"/>
        <v>0</v>
      </c>
    </row>
    <row r="58" spans="1:13" ht="18.95" customHeight="1" x14ac:dyDescent="0.2">
      <c r="B58" s="145" t="s">
        <v>56</v>
      </c>
      <c r="C58" s="145" t="s">
        <v>790</v>
      </c>
      <c r="D58" s="146">
        <v>8000</v>
      </c>
      <c r="E58" s="146">
        <v>16826.54</v>
      </c>
      <c r="F58" s="147">
        <v>8000</v>
      </c>
      <c r="G58" s="146">
        <v>15000</v>
      </c>
      <c r="H58" s="188">
        <f t="shared" si="8"/>
        <v>0.875</v>
      </c>
    </row>
    <row r="59" spans="1:13" ht="18.95" customHeight="1" x14ac:dyDescent="0.2">
      <c r="B59" s="145" t="s">
        <v>58</v>
      </c>
      <c r="C59" s="145" t="s">
        <v>791</v>
      </c>
      <c r="D59" s="146">
        <v>28000</v>
      </c>
      <c r="E59" s="146">
        <v>33133.46</v>
      </c>
      <c r="F59" s="147">
        <v>32000</v>
      </c>
      <c r="G59" s="146">
        <v>35000</v>
      </c>
      <c r="H59" s="188">
        <f t="shared" si="8"/>
        <v>9.375E-2</v>
      </c>
    </row>
    <row r="60" spans="1:13" ht="18.95" customHeight="1" x14ac:dyDescent="0.2">
      <c r="B60" s="145" t="s">
        <v>68</v>
      </c>
      <c r="C60" s="145" t="s">
        <v>792</v>
      </c>
      <c r="D60" s="146">
        <v>13000</v>
      </c>
      <c r="E60" s="146">
        <v>16966.66</v>
      </c>
      <c r="F60" s="147">
        <v>15000</v>
      </c>
      <c r="G60" s="146">
        <v>31100</v>
      </c>
      <c r="H60" s="188">
        <f t="shared" si="8"/>
        <v>1.0733333333333333</v>
      </c>
    </row>
    <row r="61" spans="1:13" ht="18.95" customHeight="1" thickBot="1" x14ac:dyDescent="0.25">
      <c r="B61" s="145" t="s">
        <v>66</v>
      </c>
      <c r="C61" s="145" t="s">
        <v>793</v>
      </c>
      <c r="D61" s="141">
        <v>6797</v>
      </c>
      <c r="E61" s="141">
        <v>6797</v>
      </c>
      <c r="F61" s="142">
        <v>6947</v>
      </c>
      <c r="G61" s="141">
        <v>7149</v>
      </c>
      <c r="H61" s="188">
        <f t="shared" si="8"/>
        <v>2.9077299553764216E-2</v>
      </c>
    </row>
    <row r="62" spans="1:13" s="140" customFormat="1" ht="18.95" customHeight="1" thickTop="1" thickBot="1" x14ac:dyDescent="0.3">
      <c r="C62" s="150" t="s">
        <v>592</v>
      </c>
      <c r="D62" s="176">
        <f t="shared" ref="D62:F62" si="9">SUM(D56:D61)</f>
        <v>62797</v>
      </c>
      <c r="E62" s="176">
        <f t="shared" si="9"/>
        <v>82116.31</v>
      </c>
      <c r="F62" s="176">
        <f t="shared" si="9"/>
        <v>69947</v>
      </c>
      <c r="G62" s="176">
        <f>SUM(G56:G61)</f>
        <v>96749</v>
      </c>
      <c r="H62" s="262">
        <f t="shared" si="8"/>
        <v>0.38317583313079906</v>
      </c>
      <c r="I62" s="188"/>
      <c r="J62" s="274"/>
      <c r="K62" s="274"/>
      <c r="L62" s="151"/>
      <c r="M62" s="151"/>
    </row>
    <row r="63" spans="1:13" ht="18.95" customHeight="1" thickTop="1" x14ac:dyDescent="0.25">
      <c r="A63" s="140"/>
      <c r="B63" s="140" t="s">
        <v>606</v>
      </c>
      <c r="C63" s="141"/>
      <c r="D63" s="142"/>
      <c r="E63" s="142"/>
      <c r="F63" s="141"/>
      <c r="G63" s="189"/>
      <c r="M63" s="145"/>
    </row>
    <row r="64" spans="1:13" ht="18.95" customHeight="1" x14ac:dyDescent="0.2">
      <c r="B64" s="145" t="s">
        <v>59</v>
      </c>
      <c r="C64" s="145" t="s">
        <v>636</v>
      </c>
      <c r="D64" s="153">
        <v>4000</v>
      </c>
      <c r="E64" s="153">
        <v>2616.4699999999998</v>
      </c>
      <c r="F64" s="242">
        <v>4000</v>
      </c>
      <c r="G64" s="153">
        <v>4000</v>
      </c>
      <c r="H64" s="188">
        <f>(G64-F64)/F64</f>
        <v>0</v>
      </c>
    </row>
    <row r="65" spans="1:13" ht="18.95" customHeight="1" thickBot="1" x14ac:dyDescent="0.25">
      <c r="B65" s="145" t="s">
        <v>51</v>
      </c>
      <c r="C65" s="145" t="s">
        <v>794</v>
      </c>
      <c r="D65" s="141">
        <v>10000</v>
      </c>
      <c r="E65" s="141">
        <v>2780.58</v>
      </c>
      <c r="F65" s="142">
        <v>7500</v>
      </c>
      <c r="G65" s="141">
        <v>5000</v>
      </c>
      <c r="H65" s="188">
        <f>(G65-F65)/F65</f>
        <v>-0.33333333333333331</v>
      </c>
    </row>
    <row r="66" spans="1:13" s="140" customFormat="1" ht="18.95" customHeight="1" thickTop="1" thickBot="1" x14ac:dyDescent="0.3">
      <c r="C66" s="150" t="s">
        <v>592</v>
      </c>
      <c r="D66" s="176">
        <f t="shared" ref="D66:F66" si="10">SUM(D64:D65)</f>
        <v>14000</v>
      </c>
      <c r="E66" s="176">
        <f t="shared" si="10"/>
        <v>5397.0499999999993</v>
      </c>
      <c r="F66" s="176">
        <f t="shared" si="10"/>
        <v>11500</v>
      </c>
      <c r="G66" s="176">
        <f>SUM(G64:G65)</f>
        <v>9000</v>
      </c>
      <c r="H66" s="262">
        <f>(G66-F66)/F66</f>
        <v>-0.21739130434782608</v>
      </c>
      <c r="I66" s="188"/>
      <c r="J66" s="274"/>
      <c r="K66" s="274"/>
      <c r="L66" s="151"/>
      <c r="M66" s="151"/>
    </row>
    <row r="67" spans="1:13" ht="18.95" customHeight="1" thickTop="1" x14ac:dyDescent="0.25">
      <c r="A67" s="140"/>
      <c r="B67" s="140" t="s">
        <v>583</v>
      </c>
      <c r="C67" s="141"/>
      <c r="D67" s="142"/>
      <c r="E67" s="142"/>
      <c r="F67" s="141"/>
      <c r="G67" s="189"/>
      <c r="M67" s="145"/>
    </row>
    <row r="68" spans="1:13" ht="18.95" customHeight="1" x14ac:dyDescent="0.2">
      <c r="B68" s="145" t="s">
        <v>64</v>
      </c>
      <c r="C68" s="145" t="s">
        <v>795</v>
      </c>
      <c r="D68" s="141">
        <v>15000</v>
      </c>
      <c r="E68" s="141">
        <v>34238.699999999997</v>
      </c>
      <c r="F68" s="142">
        <v>25000</v>
      </c>
      <c r="G68" s="141">
        <v>30000</v>
      </c>
      <c r="H68" s="188">
        <f>(G68-F68)/F68</f>
        <v>0.2</v>
      </c>
    </row>
    <row r="69" spans="1:13" ht="18.95" customHeight="1" thickBot="1" x14ac:dyDescent="0.25">
      <c r="B69" s="145" t="s">
        <v>65</v>
      </c>
      <c r="C69" s="145" t="s">
        <v>825</v>
      </c>
      <c r="D69" s="146">
        <v>1500</v>
      </c>
      <c r="E69" s="146">
        <v>464.82</v>
      </c>
      <c r="F69" s="147">
        <v>3000</v>
      </c>
      <c r="G69" s="146">
        <v>2000</v>
      </c>
      <c r="H69" s="188">
        <f>(G69-F69)/F69</f>
        <v>-0.33333333333333331</v>
      </c>
    </row>
    <row r="70" spans="1:13" s="140" customFormat="1" ht="18.95" customHeight="1" thickTop="1" thickBot="1" x14ac:dyDescent="0.3">
      <c r="C70" s="154" t="s">
        <v>592</v>
      </c>
      <c r="D70" s="176">
        <f t="shared" ref="D70:F70" si="11">SUM(D68:D69)</f>
        <v>16500</v>
      </c>
      <c r="E70" s="176">
        <f t="shared" si="11"/>
        <v>34703.519999999997</v>
      </c>
      <c r="F70" s="176">
        <f t="shared" si="11"/>
        <v>28000</v>
      </c>
      <c r="G70" s="176">
        <f>SUM(G68:G69)</f>
        <v>32000</v>
      </c>
      <c r="H70" s="262">
        <f>(G70-F70)/F70</f>
        <v>0.14285714285714285</v>
      </c>
      <c r="I70" s="188"/>
      <c r="J70" s="274"/>
      <c r="K70" s="274"/>
      <c r="L70" s="151"/>
    </row>
    <row r="71" spans="1:13" ht="18.95" customHeight="1" thickTop="1" x14ac:dyDescent="0.25">
      <c r="A71" s="140"/>
      <c r="B71" s="140" t="s">
        <v>595</v>
      </c>
      <c r="C71" s="141"/>
      <c r="D71" s="142"/>
      <c r="E71" s="142"/>
      <c r="F71" s="141"/>
      <c r="G71" s="189"/>
      <c r="M71" s="145"/>
    </row>
    <row r="72" spans="1:13" ht="18.95" customHeight="1" x14ac:dyDescent="0.2">
      <c r="B72" s="145" t="s">
        <v>398</v>
      </c>
      <c r="C72" s="145" t="s">
        <v>796</v>
      </c>
      <c r="D72" s="141">
        <v>5000</v>
      </c>
      <c r="E72" s="141">
        <v>5000</v>
      </c>
      <c r="F72" s="142">
        <v>5000</v>
      </c>
      <c r="G72" s="141">
        <v>5000</v>
      </c>
      <c r="H72" s="188">
        <f>(G72-F72)/F72</f>
        <v>0</v>
      </c>
      <c r="L72" s="145"/>
      <c r="M72" s="145"/>
    </row>
    <row r="73" spans="1:13" ht="18.95" customHeight="1" x14ac:dyDescent="0.2">
      <c r="B73" s="145" t="s">
        <v>184</v>
      </c>
      <c r="C73" s="145" t="s">
        <v>390</v>
      </c>
      <c r="D73" s="146">
        <v>200</v>
      </c>
      <c r="E73" s="146">
        <v>200</v>
      </c>
      <c r="F73" s="147">
        <v>200</v>
      </c>
      <c r="G73" s="146">
        <v>200</v>
      </c>
      <c r="H73" s="188">
        <f>(G73-F73)/F73</f>
        <v>0</v>
      </c>
    </row>
    <row r="74" spans="1:13" ht="18.95" customHeight="1" thickBot="1" x14ac:dyDescent="0.25">
      <c r="B74" s="145" t="s">
        <v>185</v>
      </c>
      <c r="C74" s="145" t="s">
        <v>391</v>
      </c>
      <c r="D74" s="141">
        <v>5000</v>
      </c>
      <c r="E74" s="141">
        <v>5000</v>
      </c>
      <c r="F74" s="142">
        <v>5000</v>
      </c>
      <c r="G74" s="141">
        <v>5000</v>
      </c>
      <c r="H74" s="188">
        <f>(G74-F74)/F74</f>
        <v>0</v>
      </c>
    </row>
    <row r="75" spans="1:13" s="140" customFormat="1" ht="18.95" customHeight="1" thickTop="1" thickBot="1" x14ac:dyDescent="0.3">
      <c r="B75" s="150"/>
      <c r="C75" s="150" t="s">
        <v>592</v>
      </c>
      <c r="D75" s="177">
        <f t="shared" ref="D75:F75" si="12">SUM(D72:D74)</f>
        <v>10200</v>
      </c>
      <c r="E75" s="177">
        <f t="shared" si="12"/>
        <v>10200</v>
      </c>
      <c r="F75" s="177">
        <f t="shared" si="12"/>
        <v>10200</v>
      </c>
      <c r="G75" s="177">
        <f>SUM(G72:G74)</f>
        <v>10200</v>
      </c>
      <c r="H75" s="262">
        <f>(G75-F75)/F75</f>
        <v>0</v>
      </c>
      <c r="I75" s="188"/>
      <c r="J75" s="274"/>
      <c r="K75" s="274"/>
      <c r="L75" s="151"/>
      <c r="M75" s="151"/>
    </row>
    <row r="76" spans="1:13" ht="18.95" customHeight="1" thickTop="1" thickBot="1" x14ac:dyDescent="0.3">
      <c r="B76" s="140"/>
      <c r="C76" s="141"/>
    </row>
    <row r="77" spans="1:13" s="140" customFormat="1" ht="18.95" customHeight="1" thickTop="1" thickBot="1" x14ac:dyDescent="0.3">
      <c r="B77" s="178" t="s">
        <v>763</v>
      </c>
      <c r="C77" s="178"/>
      <c r="D77" s="179">
        <f t="shared" ref="D77:F77" si="13">D19+D25+D37+D41+D46+D54+D62+D66+D70+D75</f>
        <v>794033</v>
      </c>
      <c r="E77" s="179">
        <f t="shared" si="13"/>
        <v>838512.98000000021</v>
      </c>
      <c r="F77" s="179">
        <f t="shared" si="13"/>
        <v>834394.12199999997</v>
      </c>
      <c r="G77" s="179">
        <f>G19+G25+G37+G41+G46+G54+G62+G66+G70+G75</f>
        <v>927352.17831999995</v>
      </c>
      <c r="H77" s="263">
        <f>(G77-F77)/F77</f>
        <v>0.11140785136067866</v>
      </c>
      <c r="I77" s="188"/>
      <c r="J77" s="274"/>
      <c r="K77" s="274"/>
      <c r="L77" s="151"/>
      <c r="M77" s="151"/>
    </row>
    <row r="78" spans="1:13" ht="18.95" customHeight="1" thickTop="1" x14ac:dyDescent="0.2">
      <c r="D78" s="155"/>
      <c r="E78" s="155"/>
      <c r="F78" s="243"/>
    </row>
    <row r="79" spans="1:13" ht="18.95" customHeight="1" x14ac:dyDescent="0.25">
      <c r="A79" s="156" t="s">
        <v>596</v>
      </c>
      <c r="B79" s="156"/>
      <c r="C79" s="148"/>
      <c r="D79" s="157"/>
      <c r="E79" s="157"/>
      <c r="F79" s="238"/>
      <c r="G79" s="189"/>
      <c r="M79" s="145"/>
    </row>
    <row r="80" spans="1:13" ht="18.95" customHeight="1" x14ac:dyDescent="0.2">
      <c r="B80" s="158" t="s">
        <v>76</v>
      </c>
      <c r="C80" s="158" t="s">
        <v>597</v>
      </c>
      <c r="D80" s="148">
        <v>32000</v>
      </c>
      <c r="E80" s="148">
        <v>24403.38</v>
      </c>
      <c r="F80" s="157">
        <v>34000</v>
      </c>
      <c r="G80" s="141">
        <v>34000</v>
      </c>
      <c r="H80" s="188">
        <f>(G80-F80)/F80</f>
        <v>0</v>
      </c>
    </row>
    <row r="81" spans="1:13" ht="18.95" customHeight="1" x14ac:dyDescent="0.2">
      <c r="B81" s="158" t="s">
        <v>77</v>
      </c>
      <c r="C81" s="158" t="s">
        <v>797</v>
      </c>
      <c r="D81" s="159">
        <v>1500</v>
      </c>
      <c r="E81" s="159">
        <v>0</v>
      </c>
      <c r="F81" s="160">
        <v>3000</v>
      </c>
      <c r="G81" s="146">
        <v>1500</v>
      </c>
      <c r="H81" s="188">
        <f>(G81-F81)/F81</f>
        <v>-0.5</v>
      </c>
    </row>
    <row r="82" spans="1:13" ht="18.95" customHeight="1" thickBot="1" x14ac:dyDescent="0.25">
      <c r="B82" s="145" t="s">
        <v>78</v>
      </c>
      <c r="C82" s="145" t="s">
        <v>798</v>
      </c>
      <c r="D82" s="161">
        <v>15000</v>
      </c>
      <c r="E82" s="161">
        <v>15000</v>
      </c>
      <c r="F82" s="244">
        <v>7500</v>
      </c>
      <c r="G82" s="141">
        <v>7500</v>
      </c>
      <c r="H82" s="188">
        <f>(G82-F82)/F82</f>
        <v>0</v>
      </c>
    </row>
    <row r="83" spans="1:13" s="140" customFormat="1" ht="18.95" customHeight="1" thickTop="1" thickBot="1" x14ac:dyDescent="0.3">
      <c r="B83" s="180" t="s">
        <v>603</v>
      </c>
      <c r="C83" s="180"/>
      <c r="D83" s="181">
        <f t="shared" ref="D83:F83" si="14">SUM(D80:D82)</f>
        <v>48500</v>
      </c>
      <c r="E83" s="181">
        <f t="shared" si="14"/>
        <v>39403.380000000005</v>
      </c>
      <c r="F83" s="181">
        <f t="shared" si="14"/>
        <v>44500</v>
      </c>
      <c r="G83" s="181">
        <f>SUM(G80:G82)</f>
        <v>43000</v>
      </c>
      <c r="H83" s="263">
        <f>(G83-F83)/F83</f>
        <v>-3.3707865168539325E-2</v>
      </c>
      <c r="I83" s="188"/>
      <c r="J83" s="274"/>
      <c r="K83" s="151"/>
      <c r="L83" s="151"/>
    </row>
    <row r="84" spans="1:13" s="140" customFormat="1" ht="18.95" customHeight="1" thickTop="1" x14ac:dyDescent="0.25">
      <c r="B84" s="150"/>
      <c r="C84" s="156"/>
      <c r="D84" s="162"/>
      <c r="E84" s="162"/>
      <c r="F84" s="245"/>
      <c r="G84" s="190"/>
      <c r="H84" s="188"/>
      <c r="I84" s="188"/>
      <c r="J84" s="274"/>
      <c r="K84" s="274"/>
      <c r="L84" s="151"/>
      <c r="M84" s="151"/>
    </row>
    <row r="85" spans="1:13" ht="18.95" customHeight="1" x14ac:dyDescent="0.25">
      <c r="A85" s="156" t="s">
        <v>10</v>
      </c>
      <c r="B85" s="148"/>
      <c r="C85" s="148"/>
      <c r="D85" s="238"/>
      <c r="E85" s="238"/>
      <c r="F85" s="143"/>
      <c r="G85" s="189"/>
      <c r="J85" s="144"/>
      <c r="K85" s="144"/>
      <c r="L85" s="145"/>
      <c r="M85" s="145"/>
    </row>
    <row r="86" spans="1:13" ht="18.95" customHeight="1" x14ac:dyDescent="0.25">
      <c r="B86" s="156" t="s">
        <v>591</v>
      </c>
      <c r="C86" s="148"/>
      <c r="D86" s="157"/>
      <c r="E86" s="157"/>
      <c r="F86" s="238"/>
      <c r="G86" s="189"/>
      <c r="M86" s="145"/>
    </row>
    <row r="87" spans="1:13" ht="18.95" customHeight="1" x14ac:dyDescent="0.2">
      <c r="B87" s="145" t="s">
        <v>79</v>
      </c>
      <c r="C87" s="145" t="s">
        <v>272</v>
      </c>
      <c r="D87" s="148">
        <v>147139.20000000001</v>
      </c>
      <c r="E87" s="148">
        <v>143338.35</v>
      </c>
      <c r="F87" s="157">
        <v>155258</v>
      </c>
      <c r="G87" s="141">
        <v>163529.60000000001</v>
      </c>
      <c r="H87" s="188">
        <f t="shared" ref="H87:H98" si="15">(G87-F87)/F87</f>
        <v>5.3276481727189622E-2</v>
      </c>
    </row>
    <row r="88" spans="1:13" ht="18.95" customHeight="1" x14ac:dyDescent="0.2">
      <c r="B88" s="145" t="s">
        <v>399</v>
      </c>
      <c r="C88" s="145" t="s">
        <v>30</v>
      </c>
      <c r="D88" s="159">
        <v>1000</v>
      </c>
      <c r="E88" s="159">
        <v>0</v>
      </c>
      <c r="F88" s="160">
        <v>1000</v>
      </c>
      <c r="G88" s="146">
        <v>1000</v>
      </c>
      <c r="H88" s="188">
        <f t="shared" si="15"/>
        <v>0</v>
      </c>
    </row>
    <row r="89" spans="1:13" ht="18.95" customHeight="1" x14ac:dyDescent="0.2">
      <c r="B89" s="145" t="s">
        <v>567</v>
      </c>
      <c r="C89" s="145" t="s">
        <v>598</v>
      </c>
      <c r="D89" s="159">
        <v>0</v>
      </c>
      <c r="E89" s="159">
        <v>0</v>
      </c>
      <c r="F89" s="160">
        <v>0</v>
      </c>
      <c r="G89" s="146">
        <v>5000</v>
      </c>
      <c r="H89" s="188">
        <v>1</v>
      </c>
    </row>
    <row r="90" spans="1:13" ht="18.95" customHeight="1" x14ac:dyDescent="0.2">
      <c r="B90" s="145" t="s">
        <v>80</v>
      </c>
      <c r="C90" s="145" t="s">
        <v>810</v>
      </c>
      <c r="D90" s="159">
        <v>11407</v>
      </c>
      <c r="E90" s="159">
        <v>10257.299999999999</v>
      </c>
      <c r="F90" s="160">
        <v>12032</v>
      </c>
      <c r="G90" s="146">
        <v>13054</v>
      </c>
      <c r="H90" s="188">
        <f t="shared" si="15"/>
        <v>8.4940159574468085E-2</v>
      </c>
    </row>
    <row r="91" spans="1:13" ht="18.95" customHeight="1" x14ac:dyDescent="0.2">
      <c r="B91" s="145" t="s">
        <v>551</v>
      </c>
      <c r="C91" s="145" t="s">
        <v>550</v>
      </c>
      <c r="D91" s="159">
        <v>0</v>
      </c>
      <c r="E91" s="159">
        <v>554.42999999999995</v>
      </c>
      <c r="F91" s="160">
        <v>688</v>
      </c>
      <c r="G91" s="160">
        <v>688</v>
      </c>
      <c r="H91" s="188">
        <f t="shared" si="15"/>
        <v>0</v>
      </c>
    </row>
    <row r="92" spans="1:13" ht="18.95" customHeight="1" x14ac:dyDescent="0.2">
      <c r="B92" s="145" t="s">
        <v>81</v>
      </c>
      <c r="C92" s="145" t="s">
        <v>588</v>
      </c>
      <c r="D92" s="159">
        <v>10367</v>
      </c>
      <c r="E92" s="159">
        <v>9986.8799999999992</v>
      </c>
      <c r="F92" s="160">
        <v>11329</v>
      </c>
      <c r="G92" s="146">
        <v>12340</v>
      </c>
      <c r="H92" s="188">
        <f t="shared" si="15"/>
        <v>8.9240003530761766E-2</v>
      </c>
    </row>
    <row r="93" spans="1:13" ht="18.95" customHeight="1" x14ac:dyDescent="0.2">
      <c r="B93" s="145" t="s">
        <v>82</v>
      </c>
      <c r="C93" s="145" t="s">
        <v>590</v>
      </c>
      <c r="D93" s="159">
        <v>59124</v>
      </c>
      <c r="E93" s="159">
        <v>51218.11</v>
      </c>
      <c r="F93" s="160">
        <v>51521</v>
      </c>
      <c r="G93" s="146">
        <v>25770</v>
      </c>
      <c r="H93" s="188">
        <f t="shared" si="15"/>
        <v>-0.49981560916907669</v>
      </c>
    </row>
    <row r="94" spans="1:13" ht="18.95" customHeight="1" x14ac:dyDescent="0.2">
      <c r="B94" s="145" t="s">
        <v>567</v>
      </c>
      <c r="C94" s="145" t="s">
        <v>535</v>
      </c>
      <c r="D94" s="159">
        <v>0</v>
      </c>
      <c r="E94" s="159">
        <v>276.08999999999997</v>
      </c>
      <c r="F94" s="160">
        <v>368</v>
      </c>
      <c r="G94" s="146">
        <v>500</v>
      </c>
      <c r="H94" s="188">
        <f t="shared" si="15"/>
        <v>0.35869565217391303</v>
      </c>
    </row>
    <row r="95" spans="1:13" ht="18.95" customHeight="1" x14ac:dyDescent="0.2">
      <c r="B95" s="145" t="s">
        <v>759</v>
      </c>
      <c r="C95" s="145" t="s">
        <v>589</v>
      </c>
      <c r="D95" s="159">
        <v>0</v>
      </c>
      <c r="E95" s="159">
        <v>0</v>
      </c>
      <c r="F95" s="160">
        <v>0</v>
      </c>
      <c r="G95" s="146">
        <v>899</v>
      </c>
      <c r="H95" s="188">
        <v>1</v>
      </c>
    </row>
    <row r="96" spans="1:13" ht="18.95" customHeight="1" x14ac:dyDescent="0.2">
      <c r="B96" s="145" t="s">
        <v>83</v>
      </c>
      <c r="C96" s="145" t="s">
        <v>811</v>
      </c>
      <c r="D96" s="159">
        <v>900</v>
      </c>
      <c r="E96" s="159">
        <v>788.18</v>
      </c>
      <c r="F96" s="160">
        <v>660</v>
      </c>
      <c r="G96" s="146">
        <v>930</v>
      </c>
      <c r="H96" s="188">
        <f t="shared" si="15"/>
        <v>0.40909090909090912</v>
      </c>
    </row>
    <row r="97" spans="2:13" ht="18.95" customHeight="1" thickBot="1" x14ac:dyDescent="0.25">
      <c r="B97" s="145" t="s">
        <v>438</v>
      </c>
      <c r="C97" s="145" t="s">
        <v>408</v>
      </c>
      <c r="D97" s="161">
        <v>2000</v>
      </c>
      <c r="E97" s="161">
        <v>0</v>
      </c>
      <c r="F97" s="244">
        <v>2000</v>
      </c>
      <c r="G97" s="141">
        <v>0</v>
      </c>
      <c r="H97" s="188">
        <f t="shared" si="15"/>
        <v>-1</v>
      </c>
    </row>
    <row r="98" spans="2:13" s="140" customFormat="1" ht="18.95" customHeight="1" thickTop="1" thickBot="1" x14ac:dyDescent="0.3">
      <c r="C98" s="150" t="s">
        <v>592</v>
      </c>
      <c r="D98" s="177">
        <f>SUM(D86:D97)</f>
        <v>231937.2</v>
      </c>
      <c r="E98" s="177">
        <f>SUM(E86:E97)</f>
        <v>216419.34</v>
      </c>
      <c r="F98" s="177">
        <f>SUM(F86:F97)</f>
        <v>234856</v>
      </c>
      <c r="G98" s="177">
        <f>SUM(G86:G97)</f>
        <v>223710.6</v>
      </c>
      <c r="H98" s="262">
        <f t="shared" si="15"/>
        <v>-4.7456313656027496E-2</v>
      </c>
      <c r="I98" s="188"/>
      <c r="J98" s="274"/>
      <c r="K98" s="274"/>
      <c r="L98" s="151"/>
      <c r="M98" s="151"/>
    </row>
    <row r="99" spans="2:13" ht="18.95" customHeight="1" thickTop="1" x14ac:dyDescent="0.25">
      <c r="B99" s="140" t="s">
        <v>578</v>
      </c>
      <c r="D99" s="148"/>
      <c r="E99" s="148"/>
      <c r="F99" s="157"/>
    </row>
    <row r="100" spans="2:13" ht="18.95" customHeight="1" x14ac:dyDescent="0.2">
      <c r="B100" s="145" t="s">
        <v>89</v>
      </c>
      <c r="C100" s="145" t="s">
        <v>624</v>
      </c>
      <c r="D100" s="163">
        <v>750</v>
      </c>
      <c r="E100" s="163">
        <v>360</v>
      </c>
      <c r="F100" s="246">
        <v>500</v>
      </c>
      <c r="G100" s="141">
        <v>500</v>
      </c>
      <c r="H100" s="188">
        <f>(G100-F100)/F100</f>
        <v>0</v>
      </c>
    </row>
    <row r="101" spans="2:13" ht="18.95" customHeight="1" x14ac:dyDescent="0.2">
      <c r="B101" s="145" t="s">
        <v>87</v>
      </c>
      <c r="C101" s="145" t="s">
        <v>775</v>
      </c>
      <c r="D101" s="159">
        <v>2500</v>
      </c>
      <c r="E101" s="159">
        <v>1094</v>
      </c>
      <c r="F101" s="160">
        <v>2500</v>
      </c>
      <c r="G101" s="146">
        <v>3000</v>
      </c>
      <c r="H101" s="188">
        <f>(G101-F101)/F101</f>
        <v>0.2</v>
      </c>
    </row>
    <row r="102" spans="2:13" ht="18.95" customHeight="1" thickBot="1" x14ac:dyDescent="0.25">
      <c r="B102" s="145" t="s">
        <v>88</v>
      </c>
      <c r="C102" s="145" t="s">
        <v>600</v>
      </c>
      <c r="D102" s="148">
        <v>250</v>
      </c>
      <c r="E102" s="148">
        <v>367.22</v>
      </c>
      <c r="F102" s="157">
        <v>1000</v>
      </c>
      <c r="G102" s="141">
        <v>1000</v>
      </c>
      <c r="H102" s="188">
        <f>(G102-F102)/F102</f>
        <v>0</v>
      </c>
    </row>
    <row r="103" spans="2:13" s="140" customFormat="1" ht="18.95" customHeight="1" thickTop="1" thickBot="1" x14ac:dyDescent="0.3">
      <c r="C103" s="150" t="s">
        <v>592</v>
      </c>
      <c r="D103" s="177">
        <f t="shared" ref="D103:F103" si="16">SUM(D100:D102)</f>
        <v>3500</v>
      </c>
      <c r="E103" s="177">
        <f t="shared" si="16"/>
        <v>1821.22</v>
      </c>
      <c r="F103" s="177">
        <f t="shared" si="16"/>
        <v>4000</v>
      </c>
      <c r="G103" s="177">
        <f>SUM(G100:G102)</f>
        <v>4500</v>
      </c>
      <c r="H103" s="262">
        <f>(G103-F103)/F103</f>
        <v>0.125</v>
      </c>
      <c r="I103" s="188"/>
      <c r="J103" s="274"/>
      <c r="K103" s="274"/>
      <c r="L103" s="151"/>
      <c r="M103" s="151"/>
    </row>
    <row r="104" spans="2:13" ht="18.95" customHeight="1" thickTop="1" x14ac:dyDescent="0.25">
      <c r="B104" s="140" t="s">
        <v>601</v>
      </c>
      <c r="D104" s="148"/>
      <c r="E104" s="148"/>
      <c r="F104" s="157"/>
    </row>
    <row r="105" spans="2:13" ht="18.95" customHeight="1" x14ac:dyDescent="0.2">
      <c r="B105" s="145" t="s">
        <v>92</v>
      </c>
      <c r="C105" s="145" t="s">
        <v>502</v>
      </c>
      <c r="D105" s="153">
        <v>6335</v>
      </c>
      <c r="E105" s="153">
        <v>6335</v>
      </c>
      <c r="F105" s="242">
        <v>6750</v>
      </c>
      <c r="G105" s="153">
        <v>6673</v>
      </c>
      <c r="H105" s="188">
        <f t="shared" ref="H105:H110" si="17">(G105-F105)/F105</f>
        <v>-1.1407407407407408E-2</v>
      </c>
    </row>
    <row r="106" spans="2:13" ht="18.95" customHeight="1" x14ac:dyDescent="0.2">
      <c r="B106" s="145" t="s">
        <v>84</v>
      </c>
      <c r="C106" s="145" t="s">
        <v>778</v>
      </c>
      <c r="D106" s="148">
        <v>1500</v>
      </c>
      <c r="E106" s="148">
        <v>1562.46</v>
      </c>
      <c r="F106" s="157">
        <v>1500</v>
      </c>
      <c r="G106" s="141">
        <v>1600</v>
      </c>
      <c r="H106" s="188">
        <f t="shared" si="17"/>
        <v>6.6666666666666666E-2</v>
      </c>
    </row>
    <row r="107" spans="2:13" ht="18.95" customHeight="1" x14ac:dyDescent="0.2">
      <c r="B107" s="145" t="s">
        <v>85</v>
      </c>
      <c r="C107" s="145" t="s">
        <v>278</v>
      </c>
      <c r="D107" s="159">
        <v>500</v>
      </c>
      <c r="E107" s="159">
        <v>500</v>
      </c>
      <c r="F107" s="160">
        <v>1000</v>
      </c>
      <c r="G107" s="146">
        <v>500</v>
      </c>
      <c r="H107" s="188">
        <f t="shared" si="17"/>
        <v>-0.5</v>
      </c>
    </row>
    <row r="108" spans="2:13" ht="18.95" customHeight="1" x14ac:dyDescent="0.2">
      <c r="B108" s="145" t="s">
        <v>86</v>
      </c>
      <c r="C108" s="145" t="s">
        <v>803</v>
      </c>
      <c r="D108" s="159">
        <v>3000</v>
      </c>
      <c r="E108" s="159">
        <v>1945.6</v>
      </c>
      <c r="F108" s="160">
        <v>3000</v>
      </c>
      <c r="G108" s="146">
        <v>3000</v>
      </c>
      <c r="H108" s="188">
        <f t="shared" si="17"/>
        <v>0</v>
      </c>
    </row>
    <row r="109" spans="2:13" ht="18.95" customHeight="1" thickBot="1" x14ac:dyDescent="0.25">
      <c r="B109" s="145" t="s">
        <v>91</v>
      </c>
      <c r="C109" s="145" t="s">
        <v>273</v>
      </c>
      <c r="D109" s="148">
        <v>10000</v>
      </c>
      <c r="E109" s="148">
        <v>7220.32</v>
      </c>
      <c r="F109" s="157">
        <v>2500</v>
      </c>
      <c r="G109" s="141">
        <v>10000</v>
      </c>
      <c r="H109" s="188">
        <f t="shared" si="17"/>
        <v>3</v>
      </c>
    </row>
    <row r="110" spans="2:13" s="140" customFormat="1" ht="18.95" customHeight="1" thickTop="1" thickBot="1" x14ac:dyDescent="0.3">
      <c r="C110" s="150" t="s">
        <v>592</v>
      </c>
      <c r="D110" s="177">
        <f t="shared" ref="D110:F110" si="18">SUM(D105:D109)</f>
        <v>21335</v>
      </c>
      <c r="E110" s="177">
        <f t="shared" si="18"/>
        <v>17563.379999999997</v>
      </c>
      <c r="F110" s="177">
        <f t="shared" si="18"/>
        <v>14750</v>
      </c>
      <c r="G110" s="177">
        <f>SUM(G105:G109)</f>
        <v>21773</v>
      </c>
      <c r="H110" s="262">
        <f t="shared" si="17"/>
        <v>0.47613559322033899</v>
      </c>
      <c r="I110" s="188"/>
      <c r="J110" s="274"/>
      <c r="K110" s="274"/>
      <c r="L110" s="151"/>
      <c r="M110" s="151"/>
    </row>
    <row r="111" spans="2:13" ht="18.95" customHeight="1" thickTop="1" x14ac:dyDescent="0.25">
      <c r="B111" s="140" t="s">
        <v>581</v>
      </c>
      <c r="D111" s="148"/>
      <c r="E111" s="148"/>
      <c r="F111" s="157"/>
    </row>
    <row r="112" spans="2:13" ht="18.95" customHeight="1" thickBot="1" x14ac:dyDescent="0.25">
      <c r="B112" s="145" t="s">
        <v>495</v>
      </c>
      <c r="C112" s="145" t="s">
        <v>496</v>
      </c>
      <c r="D112" s="161">
        <v>1000</v>
      </c>
      <c r="E112" s="161">
        <v>1107</v>
      </c>
      <c r="F112" s="244">
        <v>1000</v>
      </c>
      <c r="G112" s="141">
        <v>1000</v>
      </c>
      <c r="H112" s="188">
        <f>(G112-F112)/F112</f>
        <v>0</v>
      </c>
    </row>
    <row r="113" spans="1:13" s="140" customFormat="1" ht="18.95" customHeight="1" thickTop="1" thickBot="1" x14ac:dyDescent="0.3">
      <c r="C113" s="150" t="s">
        <v>592</v>
      </c>
      <c r="D113" s="177">
        <f t="shared" ref="D113:F113" si="19">SUM(D112)</f>
        <v>1000</v>
      </c>
      <c r="E113" s="177">
        <f t="shared" si="19"/>
        <v>1107</v>
      </c>
      <c r="F113" s="177">
        <f t="shared" si="19"/>
        <v>1000</v>
      </c>
      <c r="G113" s="177">
        <f>SUM(G112)</f>
        <v>1000</v>
      </c>
      <c r="H113" s="262">
        <f>(G113-F113)/F113</f>
        <v>0</v>
      </c>
      <c r="I113" s="188"/>
      <c r="J113" s="274"/>
      <c r="K113" s="274"/>
      <c r="L113" s="151"/>
      <c r="M113" s="151"/>
    </row>
    <row r="114" spans="1:13" ht="18.95" customHeight="1" thickTop="1" x14ac:dyDescent="0.25">
      <c r="B114" s="140" t="s">
        <v>602</v>
      </c>
      <c r="D114" s="148"/>
      <c r="E114" s="148"/>
      <c r="F114" s="157"/>
    </row>
    <row r="115" spans="1:13" ht="18.95" customHeight="1" x14ac:dyDescent="0.2">
      <c r="B115" s="145" t="s">
        <v>90</v>
      </c>
      <c r="C115" s="145" t="s">
        <v>790</v>
      </c>
      <c r="D115" s="164">
        <v>5000</v>
      </c>
      <c r="E115" s="164">
        <v>140</v>
      </c>
      <c r="F115" s="247">
        <v>5000</v>
      </c>
      <c r="G115" s="153">
        <v>2500</v>
      </c>
      <c r="H115" s="188">
        <f>(G115-F115)/F115</f>
        <v>-0.5</v>
      </c>
    </row>
    <row r="116" spans="1:13" ht="18.95" customHeight="1" thickBot="1" x14ac:dyDescent="0.25">
      <c r="B116" s="145" t="s">
        <v>517</v>
      </c>
      <c r="C116" s="145" t="s">
        <v>394</v>
      </c>
      <c r="D116" s="149">
        <v>2000</v>
      </c>
      <c r="E116" s="149">
        <v>0</v>
      </c>
      <c r="F116" s="240">
        <v>2000</v>
      </c>
      <c r="G116" s="141">
        <v>2000</v>
      </c>
      <c r="H116" s="188">
        <f>(G116-F116)/F116</f>
        <v>0</v>
      </c>
    </row>
    <row r="117" spans="1:13" s="140" customFormat="1" ht="18.95" customHeight="1" thickTop="1" thickBot="1" x14ac:dyDescent="0.3">
      <c r="C117" s="150" t="s">
        <v>592</v>
      </c>
      <c r="D117" s="176">
        <f t="shared" ref="D117:F117" si="20">SUM(D115:D116)</f>
        <v>7000</v>
      </c>
      <c r="E117" s="176">
        <f t="shared" si="20"/>
        <v>140</v>
      </c>
      <c r="F117" s="176">
        <f t="shared" si="20"/>
        <v>7000</v>
      </c>
      <c r="G117" s="176">
        <f>SUM(G115:G116)</f>
        <v>4500</v>
      </c>
      <c r="H117" s="262">
        <f>(G117-F117)/F117</f>
        <v>-0.35714285714285715</v>
      </c>
      <c r="I117" s="188"/>
      <c r="J117" s="274"/>
      <c r="K117" s="274"/>
      <c r="L117" s="151"/>
      <c r="M117" s="151"/>
    </row>
    <row r="118" spans="1:13" ht="18.95" customHeight="1" thickTop="1" x14ac:dyDescent="0.25">
      <c r="B118" s="140" t="s">
        <v>606</v>
      </c>
      <c r="D118" s="148"/>
      <c r="E118" s="148"/>
      <c r="F118" s="157"/>
    </row>
    <row r="119" spans="1:13" ht="18.95" customHeight="1" x14ac:dyDescent="0.2">
      <c r="B119" s="145" t="s">
        <v>400</v>
      </c>
      <c r="C119" s="145" t="s">
        <v>804</v>
      </c>
      <c r="D119" s="148">
        <v>1500</v>
      </c>
      <c r="E119" s="148">
        <v>3250.27</v>
      </c>
      <c r="F119" s="157">
        <v>1500</v>
      </c>
      <c r="G119" s="141">
        <v>1500</v>
      </c>
      <c r="H119" s="188">
        <f>(G119-F119)/F119</f>
        <v>0</v>
      </c>
    </row>
    <row r="120" spans="1:13" ht="18.95" customHeight="1" thickBot="1" x14ac:dyDescent="0.25">
      <c r="C120" s="145" t="s">
        <v>854</v>
      </c>
      <c r="D120" s="192">
        <v>0</v>
      </c>
      <c r="E120" s="192">
        <v>0</v>
      </c>
      <c r="F120" s="248">
        <v>0</v>
      </c>
      <c r="G120" s="166">
        <v>1500</v>
      </c>
      <c r="H120" s="188">
        <v>1</v>
      </c>
    </row>
    <row r="121" spans="1:13" s="140" customFormat="1" ht="18.95" customHeight="1" thickTop="1" thickBot="1" x14ac:dyDescent="0.3">
      <c r="C121" s="150" t="s">
        <v>592</v>
      </c>
      <c r="D121" s="177">
        <f t="shared" ref="D121:F121" si="21">SUM(D119:D120)</f>
        <v>1500</v>
      </c>
      <c r="E121" s="177">
        <f t="shared" si="21"/>
        <v>3250.27</v>
      </c>
      <c r="F121" s="177">
        <f t="shared" si="21"/>
        <v>1500</v>
      </c>
      <c r="G121" s="177">
        <f>SUM(G119:G120)</f>
        <v>3000</v>
      </c>
      <c r="H121" s="262">
        <f>(G121-F121)/F121</f>
        <v>1</v>
      </c>
      <c r="I121" s="188"/>
      <c r="J121" s="274"/>
      <c r="K121" s="274"/>
      <c r="L121" s="151"/>
      <c r="M121" s="151"/>
    </row>
    <row r="122" spans="1:13" ht="18.95" customHeight="1" thickTop="1" x14ac:dyDescent="0.25">
      <c r="B122" s="140" t="s">
        <v>585</v>
      </c>
      <c r="D122" s="148"/>
      <c r="E122" s="148"/>
      <c r="F122" s="157"/>
    </row>
    <row r="123" spans="1:13" ht="18.95" customHeight="1" thickBot="1" x14ac:dyDescent="0.25">
      <c r="B123" s="145" t="s">
        <v>401</v>
      </c>
      <c r="C123" s="145" t="s">
        <v>741</v>
      </c>
      <c r="D123" s="141">
        <v>10000</v>
      </c>
      <c r="E123" s="141">
        <v>10000</v>
      </c>
      <c r="F123" s="142">
        <v>10000</v>
      </c>
      <c r="G123" s="141">
        <v>10000</v>
      </c>
      <c r="H123" s="188">
        <f>(G123-F123)/F123</f>
        <v>0</v>
      </c>
    </row>
    <row r="124" spans="1:13" s="140" customFormat="1" ht="18.95" customHeight="1" thickTop="1" thickBot="1" x14ac:dyDescent="0.3">
      <c r="C124" s="150" t="s">
        <v>592</v>
      </c>
      <c r="D124" s="176">
        <f t="shared" ref="D124:F124" si="22">SUM(D123)</f>
        <v>10000</v>
      </c>
      <c r="E124" s="176">
        <f t="shared" si="22"/>
        <v>10000</v>
      </c>
      <c r="F124" s="176">
        <f t="shared" si="22"/>
        <v>10000</v>
      </c>
      <c r="G124" s="176">
        <f>SUM(G123)</f>
        <v>10000</v>
      </c>
      <c r="H124" s="262">
        <f>(G124-F124)/F124</f>
        <v>0</v>
      </c>
      <c r="I124" s="188"/>
      <c r="J124" s="274"/>
      <c r="K124" s="274"/>
      <c r="L124" s="151"/>
      <c r="M124" s="151"/>
    </row>
    <row r="125" spans="1:13" ht="18.95" customHeight="1" thickTop="1" thickBot="1" x14ac:dyDescent="0.25"/>
    <row r="126" spans="1:13" ht="18.95" customHeight="1" thickTop="1" thickBot="1" x14ac:dyDescent="0.3">
      <c r="B126" s="253" t="s">
        <v>764</v>
      </c>
      <c r="C126" s="253"/>
      <c r="D126" s="254">
        <f t="shared" ref="D126:F126" si="23">SUM(D124,D98,D103,D110,D113,D117,D121)</f>
        <v>276272.2</v>
      </c>
      <c r="E126" s="254">
        <f t="shared" si="23"/>
        <v>250301.21</v>
      </c>
      <c r="F126" s="254">
        <f t="shared" si="23"/>
        <v>273106</v>
      </c>
      <c r="G126" s="254">
        <f>SUM(G124,G98,G103,G110,G113,G117,G121)</f>
        <v>268483.59999999998</v>
      </c>
      <c r="H126" s="263">
        <f>(G126-F126)/F126</f>
        <v>-1.6925296405058927E-2</v>
      </c>
    </row>
    <row r="127" spans="1:13" ht="18.95" customHeight="1" thickTop="1" x14ac:dyDescent="0.2">
      <c r="B127" s="40"/>
      <c r="C127" s="40"/>
      <c r="D127" s="148"/>
      <c r="E127" s="148"/>
      <c r="F127" s="249"/>
    </row>
    <row r="128" spans="1:13" ht="18.95" customHeight="1" x14ac:dyDescent="0.25">
      <c r="A128" s="140" t="s">
        <v>755</v>
      </c>
      <c r="B128" s="141"/>
      <c r="C128" s="141"/>
      <c r="D128" s="238"/>
      <c r="E128" s="238"/>
      <c r="F128" s="143"/>
      <c r="G128" s="189"/>
      <c r="J128" s="144"/>
      <c r="K128" s="144"/>
      <c r="L128" s="145"/>
      <c r="M128" s="145"/>
    </row>
    <row r="129" spans="2:13" ht="18.95" customHeight="1" x14ac:dyDescent="0.25">
      <c r="B129" s="140" t="s">
        <v>591</v>
      </c>
      <c r="C129" s="140"/>
      <c r="G129" s="189"/>
      <c r="K129" s="144"/>
      <c r="L129" s="145"/>
      <c r="M129" s="145"/>
    </row>
    <row r="130" spans="2:13" ht="18.95" customHeight="1" x14ac:dyDescent="0.2">
      <c r="B130" s="145" t="s">
        <v>93</v>
      </c>
      <c r="C130" s="145" t="s">
        <v>808</v>
      </c>
      <c r="D130" s="141">
        <v>346580</v>
      </c>
      <c r="E130" s="141">
        <v>98348.55</v>
      </c>
      <c r="F130" s="142">
        <v>375242</v>
      </c>
      <c r="G130" s="189">
        <v>539217</v>
      </c>
      <c r="H130" s="188">
        <f t="shared" ref="H130:H144" si="24">(G130-F130)/F130</f>
        <v>0.43698466589560869</v>
      </c>
      <c r="K130" s="144"/>
      <c r="L130" s="145"/>
      <c r="M130" s="145"/>
    </row>
    <row r="131" spans="2:13" ht="18.95" customHeight="1" x14ac:dyDescent="0.2">
      <c r="B131" s="145" t="s">
        <v>492</v>
      </c>
      <c r="C131" s="145" t="s">
        <v>486</v>
      </c>
      <c r="D131" s="146">
        <v>796.9</v>
      </c>
      <c r="E131" s="146">
        <v>0</v>
      </c>
      <c r="F131" s="147">
        <v>0</v>
      </c>
      <c r="G131" s="259">
        <v>0</v>
      </c>
      <c r="H131" s="188">
        <v>0</v>
      </c>
      <c r="K131" s="144"/>
      <c r="L131" s="145"/>
      <c r="M131" s="145"/>
    </row>
    <row r="132" spans="2:13" ht="18.95" customHeight="1" x14ac:dyDescent="0.2">
      <c r="B132" s="145" t="s">
        <v>94</v>
      </c>
      <c r="C132" s="145" t="s">
        <v>274</v>
      </c>
      <c r="D132" s="146">
        <v>12000</v>
      </c>
      <c r="E132" s="146">
        <v>0</v>
      </c>
      <c r="F132" s="147">
        <v>0</v>
      </c>
      <c r="G132" s="259">
        <v>0</v>
      </c>
      <c r="H132" s="188">
        <v>0</v>
      </c>
      <c r="K132" s="144"/>
      <c r="L132" s="145"/>
      <c r="M132" s="145"/>
    </row>
    <row r="133" spans="2:13" ht="18.95" customHeight="1" x14ac:dyDescent="0.2">
      <c r="B133" s="145" t="s">
        <v>96</v>
      </c>
      <c r="C133" s="145" t="s">
        <v>30</v>
      </c>
      <c r="D133" s="146">
        <v>15000</v>
      </c>
      <c r="E133" s="146">
        <v>18808.400000000001</v>
      </c>
      <c r="F133" s="147">
        <v>15000</v>
      </c>
      <c r="G133" s="259">
        <v>15000</v>
      </c>
      <c r="H133" s="188">
        <f t="shared" si="24"/>
        <v>0</v>
      </c>
      <c r="K133" s="144"/>
      <c r="L133" s="145"/>
      <c r="M133" s="145"/>
    </row>
    <row r="134" spans="2:13" ht="18.95" customHeight="1" x14ac:dyDescent="0.2">
      <c r="B134" s="145" t="s">
        <v>95</v>
      </c>
      <c r="C134" s="145" t="s">
        <v>598</v>
      </c>
      <c r="D134" s="146">
        <v>5000</v>
      </c>
      <c r="E134" s="146">
        <v>0</v>
      </c>
      <c r="F134" s="147">
        <v>0</v>
      </c>
      <c r="G134" s="259">
        <v>0</v>
      </c>
      <c r="H134" s="188">
        <v>0</v>
      </c>
      <c r="K134" s="144"/>
      <c r="L134" s="145"/>
      <c r="M134" s="145"/>
    </row>
    <row r="135" spans="2:13" ht="18.95" customHeight="1" x14ac:dyDescent="0.2">
      <c r="B135" s="145" t="s">
        <v>97</v>
      </c>
      <c r="C135" s="145" t="s">
        <v>275</v>
      </c>
      <c r="D135" s="146">
        <v>29597</v>
      </c>
      <c r="E135" s="146">
        <v>7919.32</v>
      </c>
      <c r="F135" s="147">
        <v>30049</v>
      </c>
      <c r="G135" s="259">
        <v>42675</v>
      </c>
      <c r="H135" s="188">
        <f t="shared" si="24"/>
        <v>0.42018037205897035</v>
      </c>
      <c r="K135" s="144"/>
      <c r="L135" s="145"/>
      <c r="M135" s="145"/>
    </row>
    <row r="136" spans="2:13" ht="18.95" customHeight="1" x14ac:dyDescent="0.2">
      <c r="B136" s="145" t="s">
        <v>552</v>
      </c>
      <c r="C136" s="145" t="s">
        <v>550</v>
      </c>
      <c r="D136" s="146">
        <v>0</v>
      </c>
      <c r="E136" s="146">
        <v>350.2</v>
      </c>
      <c r="F136" s="147">
        <f>SUM(F130:F134)*0.44%</f>
        <v>1717.0648000000001</v>
      </c>
      <c r="G136" s="259">
        <v>2438.5548000000003</v>
      </c>
      <c r="H136" s="188">
        <f>(G136-F136)/F136</f>
        <v>0.42018798591643147</v>
      </c>
      <c r="K136" s="144"/>
      <c r="L136" s="145"/>
      <c r="M136" s="145"/>
    </row>
    <row r="137" spans="2:13" ht="18.95" customHeight="1" x14ac:dyDescent="0.2">
      <c r="B137" s="145" t="s">
        <v>98</v>
      </c>
      <c r="C137" s="145" t="s">
        <v>588</v>
      </c>
      <c r="D137" s="146">
        <v>39351</v>
      </c>
      <c r="E137" s="146">
        <v>12607.03</v>
      </c>
      <c r="F137" s="147">
        <v>42205</v>
      </c>
      <c r="G137" s="259">
        <v>62600</v>
      </c>
      <c r="H137" s="188">
        <f t="shared" si="24"/>
        <v>0.48323658334320579</v>
      </c>
      <c r="K137" s="144"/>
      <c r="L137" s="145"/>
      <c r="M137" s="145"/>
    </row>
    <row r="138" spans="2:13" ht="18.95" customHeight="1" x14ac:dyDescent="0.2">
      <c r="B138" s="145" t="s">
        <v>99</v>
      </c>
      <c r="C138" s="145" t="s">
        <v>590</v>
      </c>
      <c r="D138" s="146">
        <v>76947</v>
      </c>
      <c r="E138" s="146">
        <v>35297.67</v>
      </c>
      <c r="F138" s="147">
        <v>119438</v>
      </c>
      <c r="G138" s="259">
        <v>138368</v>
      </c>
      <c r="H138" s="188">
        <f t="shared" si="24"/>
        <v>0.1584922721411946</v>
      </c>
      <c r="K138" s="144"/>
      <c r="L138" s="145"/>
      <c r="M138" s="145"/>
    </row>
    <row r="139" spans="2:13" ht="18.95" customHeight="1" x14ac:dyDescent="0.2">
      <c r="B139" s="145" t="s">
        <v>100</v>
      </c>
      <c r="C139" s="145" t="s">
        <v>535</v>
      </c>
      <c r="D139" s="146">
        <v>0</v>
      </c>
      <c r="E139" s="146">
        <v>547.92999999999995</v>
      </c>
      <c r="F139" s="147">
        <v>1035</v>
      </c>
      <c r="G139" s="259">
        <v>702</v>
      </c>
      <c r="H139" s="188">
        <f t="shared" si="24"/>
        <v>-0.32173913043478258</v>
      </c>
      <c r="K139" s="144"/>
      <c r="L139" s="145"/>
      <c r="M139" s="145"/>
    </row>
    <row r="140" spans="2:13" ht="18.95" customHeight="1" x14ac:dyDescent="0.2">
      <c r="B140" s="145" t="s">
        <v>760</v>
      </c>
      <c r="C140" s="145" t="s">
        <v>826</v>
      </c>
      <c r="D140" s="146">
        <v>0</v>
      </c>
      <c r="E140" s="146">
        <v>0</v>
      </c>
      <c r="F140" s="147">
        <v>0</v>
      </c>
      <c r="G140" s="259">
        <v>6149</v>
      </c>
      <c r="H140" s="188">
        <v>1</v>
      </c>
      <c r="K140" s="144"/>
      <c r="L140" s="145"/>
      <c r="M140" s="145"/>
    </row>
    <row r="141" spans="2:13" ht="18.95" customHeight="1" x14ac:dyDescent="0.2">
      <c r="B141" s="145" t="s">
        <v>101</v>
      </c>
      <c r="C141" s="145" t="s">
        <v>811</v>
      </c>
      <c r="D141" s="146">
        <v>1920</v>
      </c>
      <c r="E141" s="146">
        <v>498.42</v>
      </c>
      <c r="F141" s="147">
        <v>2230</v>
      </c>
      <c r="G141" s="259">
        <v>2090</v>
      </c>
      <c r="H141" s="188">
        <f t="shared" si="24"/>
        <v>-6.2780269058295965E-2</v>
      </c>
      <c r="K141" s="144"/>
      <c r="L141" s="145"/>
      <c r="M141" s="145"/>
    </row>
    <row r="142" spans="2:13" ht="18.95" customHeight="1" x14ac:dyDescent="0.2">
      <c r="B142" s="145" t="s">
        <v>102</v>
      </c>
      <c r="C142" s="145" t="s">
        <v>799</v>
      </c>
      <c r="D142" s="146">
        <v>720</v>
      </c>
      <c r="E142" s="146">
        <v>157.94999999999999</v>
      </c>
      <c r="F142" s="147">
        <v>720</v>
      </c>
      <c r="G142" s="259">
        <v>525</v>
      </c>
      <c r="H142" s="188">
        <f t="shared" si="24"/>
        <v>-0.27083333333333331</v>
      </c>
      <c r="K142" s="144"/>
      <c r="L142" s="145"/>
      <c r="M142" s="145"/>
    </row>
    <row r="143" spans="2:13" ht="18.95" customHeight="1" thickBot="1" x14ac:dyDescent="0.25">
      <c r="B143" s="145" t="s">
        <v>103</v>
      </c>
      <c r="C143" s="145" t="s">
        <v>780</v>
      </c>
      <c r="D143" s="141">
        <v>2000</v>
      </c>
      <c r="E143" s="141">
        <v>108.83</v>
      </c>
      <c r="F143" s="142">
        <v>2000</v>
      </c>
      <c r="G143" s="189">
        <v>2000</v>
      </c>
      <c r="H143" s="188">
        <f t="shared" si="24"/>
        <v>0</v>
      </c>
      <c r="K143" s="144"/>
      <c r="L143" s="145"/>
      <c r="M143" s="145"/>
    </row>
    <row r="144" spans="2:13" s="140" customFormat="1" ht="18.95" customHeight="1" thickTop="1" thickBot="1" x14ac:dyDescent="0.3">
      <c r="C144" s="150" t="s">
        <v>592</v>
      </c>
      <c r="D144" s="176">
        <f t="shared" ref="D144:F144" si="25">SUM(D130:D143)</f>
        <v>529911.9</v>
      </c>
      <c r="E144" s="176">
        <f t="shared" si="25"/>
        <v>174644.30000000005</v>
      </c>
      <c r="F144" s="176">
        <f t="shared" si="25"/>
        <v>589636.06480000005</v>
      </c>
      <c r="G144" s="176">
        <f>SUM(G130:G143)</f>
        <v>811764.55480000004</v>
      </c>
      <c r="H144" s="262">
        <f t="shared" si="24"/>
        <v>0.3767213426392842</v>
      </c>
      <c r="I144" s="188"/>
      <c r="J144" s="274"/>
      <c r="K144" s="275"/>
    </row>
    <row r="145" spans="2:13" ht="18.95" customHeight="1" thickTop="1" x14ac:dyDescent="0.25">
      <c r="B145" s="140" t="s">
        <v>578</v>
      </c>
      <c r="C145" s="140"/>
    </row>
    <row r="146" spans="2:13" ht="18.95" customHeight="1" x14ac:dyDescent="0.2">
      <c r="B146" s="145" t="s">
        <v>749</v>
      </c>
      <c r="C146" s="145" t="s">
        <v>824</v>
      </c>
      <c r="D146" s="153">
        <v>0</v>
      </c>
      <c r="E146" s="153">
        <v>0</v>
      </c>
      <c r="F146" s="242">
        <v>0</v>
      </c>
      <c r="G146" s="153">
        <v>200</v>
      </c>
      <c r="H146" s="188">
        <v>1</v>
      </c>
    </row>
    <row r="147" spans="2:13" ht="18.95" customHeight="1" x14ac:dyDescent="0.2">
      <c r="B147" s="145" t="s">
        <v>111</v>
      </c>
      <c r="C147" s="145" t="s">
        <v>775</v>
      </c>
      <c r="D147" s="146">
        <v>5000</v>
      </c>
      <c r="E147" s="146">
        <v>0</v>
      </c>
      <c r="F147" s="147">
        <v>3200</v>
      </c>
      <c r="G147" s="146">
        <v>5000</v>
      </c>
      <c r="H147" s="188">
        <f t="shared" ref="H147:H152" si="26">(G147-F147)/F147</f>
        <v>0.5625</v>
      </c>
    </row>
    <row r="148" spans="2:13" ht="18.95" customHeight="1" x14ac:dyDescent="0.2">
      <c r="B148" s="145" t="s">
        <v>105</v>
      </c>
      <c r="C148" s="145" t="s">
        <v>812</v>
      </c>
      <c r="D148" s="141">
        <v>10000</v>
      </c>
      <c r="E148" s="141">
        <v>7480.72</v>
      </c>
      <c r="F148" s="142">
        <v>5000</v>
      </c>
      <c r="G148" s="141">
        <v>5000</v>
      </c>
      <c r="H148" s="188">
        <f t="shared" si="26"/>
        <v>0</v>
      </c>
    </row>
    <row r="149" spans="2:13" ht="18.95" customHeight="1" x14ac:dyDescent="0.2">
      <c r="B149" s="145" t="s">
        <v>548</v>
      </c>
      <c r="C149" s="145" t="s">
        <v>855</v>
      </c>
      <c r="D149" s="141">
        <v>0</v>
      </c>
      <c r="E149" s="141">
        <v>0</v>
      </c>
      <c r="F149" s="142">
        <v>10500</v>
      </c>
      <c r="G149" s="141">
        <v>10500</v>
      </c>
      <c r="H149" s="188">
        <f>(G149-F149)/F149</f>
        <v>0</v>
      </c>
    </row>
    <row r="150" spans="2:13" ht="18.95" customHeight="1" x14ac:dyDescent="0.2">
      <c r="B150" s="145" t="s">
        <v>104</v>
      </c>
      <c r="C150" s="145" t="s">
        <v>813</v>
      </c>
      <c r="D150" s="146">
        <v>500</v>
      </c>
      <c r="E150" s="146">
        <v>0</v>
      </c>
      <c r="F150" s="147">
        <v>500</v>
      </c>
      <c r="G150" s="146">
        <v>500</v>
      </c>
      <c r="H150" s="188">
        <f t="shared" si="26"/>
        <v>0</v>
      </c>
    </row>
    <row r="151" spans="2:13" ht="18.95" customHeight="1" thickBot="1" x14ac:dyDescent="0.25">
      <c r="B151" s="145" t="s">
        <v>113</v>
      </c>
      <c r="C151" s="145" t="s">
        <v>632</v>
      </c>
      <c r="D151" s="146">
        <v>500</v>
      </c>
      <c r="E151" s="146">
        <v>0</v>
      </c>
      <c r="F151" s="147">
        <v>0</v>
      </c>
      <c r="G151" s="146">
        <v>0</v>
      </c>
      <c r="H151" s="188">
        <v>0</v>
      </c>
    </row>
    <row r="152" spans="2:13" s="150" customFormat="1" ht="18.95" customHeight="1" thickTop="1" thickBot="1" x14ac:dyDescent="0.3">
      <c r="C152" s="150" t="s">
        <v>592</v>
      </c>
      <c r="D152" s="182">
        <f t="shared" ref="D152:F152" si="27">SUM(D146:D151)</f>
        <v>16000</v>
      </c>
      <c r="E152" s="182">
        <f t="shared" si="27"/>
        <v>7480.72</v>
      </c>
      <c r="F152" s="182">
        <f t="shared" si="27"/>
        <v>19200</v>
      </c>
      <c r="G152" s="182">
        <f>SUM(G146:G151)</f>
        <v>21200</v>
      </c>
      <c r="H152" s="262">
        <f t="shared" si="26"/>
        <v>0.10416666666666667</v>
      </c>
      <c r="I152" s="188"/>
      <c r="J152" s="165"/>
      <c r="K152" s="165"/>
      <c r="L152" s="165"/>
      <c r="M152" s="165"/>
    </row>
    <row r="153" spans="2:13" ht="18.95" customHeight="1" thickTop="1" x14ac:dyDescent="0.25">
      <c r="B153" s="140" t="s">
        <v>601</v>
      </c>
    </row>
    <row r="154" spans="2:13" ht="18.95" customHeight="1" x14ac:dyDescent="0.2">
      <c r="B154" s="145" t="s">
        <v>110</v>
      </c>
      <c r="C154" s="145" t="s">
        <v>270</v>
      </c>
      <c r="D154" s="141">
        <v>26854</v>
      </c>
      <c r="E154" s="141">
        <v>33944.11</v>
      </c>
      <c r="F154" s="142">
        <v>39013</v>
      </c>
      <c r="G154" s="141">
        <v>40964</v>
      </c>
      <c r="H154" s="188">
        <f>(G154-F154)/F154</f>
        <v>5.0008971368518187E-2</v>
      </c>
    </row>
    <row r="155" spans="2:13" ht="18.95" customHeight="1" x14ac:dyDescent="0.2">
      <c r="B155" s="145" t="s">
        <v>107</v>
      </c>
      <c r="C155" s="145" t="s">
        <v>800</v>
      </c>
      <c r="D155" s="146">
        <v>2500</v>
      </c>
      <c r="E155" s="146">
        <v>451.85</v>
      </c>
      <c r="F155" s="147">
        <v>500</v>
      </c>
      <c r="G155" s="146">
        <v>500</v>
      </c>
      <c r="H155" s="188">
        <f>(G155-F155)/F155</f>
        <v>0</v>
      </c>
    </row>
    <row r="156" spans="2:13" ht="18.95" customHeight="1" thickBot="1" x14ac:dyDescent="0.25">
      <c r="B156" s="145" t="s">
        <v>625</v>
      </c>
      <c r="C156" s="145" t="s">
        <v>814</v>
      </c>
      <c r="D156" s="141">
        <v>0</v>
      </c>
      <c r="E156" s="141">
        <v>0</v>
      </c>
      <c r="F156" s="142">
        <v>0</v>
      </c>
      <c r="G156" s="141">
        <v>1000</v>
      </c>
      <c r="H156" s="188">
        <v>1</v>
      </c>
    </row>
    <row r="157" spans="2:13" s="140" customFormat="1" ht="18.95" customHeight="1" thickTop="1" thickBot="1" x14ac:dyDescent="0.3">
      <c r="C157" s="150" t="s">
        <v>592</v>
      </c>
      <c r="D157" s="176">
        <f t="shared" ref="D157:F157" si="28">SUM(D154:D156)</f>
        <v>29354</v>
      </c>
      <c r="E157" s="176">
        <f t="shared" si="28"/>
        <v>34395.96</v>
      </c>
      <c r="F157" s="176">
        <f t="shared" si="28"/>
        <v>39513</v>
      </c>
      <c r="G157" s="176">
        <f>SUM(G154:G156)</f>
        <v>42464</v>
      </c>
      <c r="H157" s="262">
        <f>(G157-F157)/F157</f>
        <v>7.4684281122668492E-2</v>
      </c>
      <c r="I157" s="188"/>
      <c r="J157" s="274"/>
      <c r="K157" s="274"/>
      <c r="L157" s="151"/>
      <c r="M157" s="151"/>
    </row>
    <row r="158" spans="2:13" ht="18.95" customHeight="1" thickTop="1" x14ac:dyDescent="0.25">
      <c r="B158" s="140" t="s">
        <v>580</v>
      </c>
      <c r="C158" s="140"/>
    </row>
    <row r="159" spans="2:13" ht="18.95" customHeight="1" x14ac:dyDescent="0.2">
      <c r="B159" s="145" t="s">
        <v>118</v>
      </c>
      <c r="C159" s="145" t="s">
        <v>395</v>
      </c>
      <c r="D159" s="141">
        <v>25000</v>
      </c>
      <c r="E159" s="141">
        <v>3122.77</v>
      </c>
      <c r="F159" s="142">
        <v>15000</v>
      </c>
      <c r="G159" s="141">
        <v>15000</v>
      </c>
      <c r="H159" s="188">
        <f t="shared" ref="H159:H187" si="29">(G159-F159)/F159</f>
        <v>0</v>
      </c>
    </row>
    <row r="160" spans="2:13" ht="18.95" customHeight="1" x14ac:dyDescent="0.2">
      <c r="B160" s="145" t="s">
        <v>503</v>
      </c>
      <c r="C160" s="145" t="s">
        <v>404</v>
      </c>
      <c r="D160" s="146">
        <v>1000</v>
      </c>
      <c r="E160" s="146">
        <v>150.63999999999999</v>
      </c>
      <c r="F160" s="147">
        <v>750</v>
      </c>
      <c r="G160" s="146">
        <v>0</v>
      </c>
      <c r="H160" s="188">
        <f t="shared" si="29"/>
        <v>-1</v>
      </c>
    </row>
    <row r="161" spans="2:13" ht="18.95" customHeight="1" x14ac:dyDescent="0.2">
      <c r="B161" s="145" t="s">
        <v>116</v>
      </c>
      <c r="C161" s="145" t="s">
        <v>815</v>
      </c>
      <c r="D161" s="141">
        <v>5000</v>
      </c>
      <c r="E161" s="141">
        <v>5698.46</v>
      </c>
      <c r="F161" s="142">
        <v>4000</v>
      </c>
      <c r="G161" s="141">
        <v>4000</v>
      </c>
      <c r="H161" s="188">
        <f t="shared" si="29"/>
        <v>0</v>
      </c>
    </row>
    <row r="162" spans="2:13" ht="18.95" customHeight="1" thickBot="1" x14ac:dyDescent="0.25">
      <c r="B162" s="145" t="s">
        <v>112</v>
      </c>
      <c r="C162" s="145" t="s">
        <v>827</v>
      </c>
      <c r="D162" s="146">
        <v>500</v>
      </c>
      <c r="E162" s="146">
        <v>0</v>
      </c>
      <c r="F162" s="147">
        <v>500</v>
      </c>
      <c r="G162" s="146">
        <v>1000</v>
      </c>
      <c r="H162" s="188">
        <f>(G162-F162)/F162</f>
        <v>1</v>
      </c>
    </row>
    <row r="163" spans="2:13" ht="18.95" customHeight="1" thickTop="1" thickBot="1" x14ac:dyDescent="0.3">
      <c r="C163" s="150" t="s">
        <v>592</v>
      </c>
      <c r="D163" s="176">
        <f t="shared" ref="D163:F163" si="30">SUM(D159:D162)</f>
        <v>31500</v>
      </c>
      <c r="E163" s="176">
        <f t="shared" si="30"/>
        <v>8971.869999999999</v>
      </c>
      <c r="F163" s="176">
        <f t="shared" si="30"/>
        <v>20250</v>
      </c>
      <c r="G163" s="176">
        <f>SUM(G159:G162)</f>
        <v>20000</v>
      </c>
      <c r="H163" s="262">
        <f t="shared" si="29"/>
        <v>-1.2345679012345678E-2</v>
      </c>
    </row>
    <row r="164" spans="2:13" ht="18.95" customHeight="1" thickTop="1" x14ac:dyDescent="0.25">
      <c r="B164" s="140" t="s">
        <v>581</v>
      </c>
      <c r="C164" s="140"/>
      <c r="K164" s="144"/>
      <c r="M164" s="145"/>
    </row>
    <row r="165" spans="2:13" ht="18.95" customHeight="1" x14ac:dyDescent="0.2">
      <c r="B165" s="145" t="s">
        <v>114</v>
      </c>
      <c r="C165" s="145" t="s">
        <v>261</v>
      </c>
      <c r="D165" s="141">
        <v>8500</v>
      </c>
      <c r="E165" s="141">
        <v>7052.26</v>
      </c>
      <c r="F165" s="142">
        <v>8500</v>
      </c>
      <c r="G165" s="141">
        <v>7500</v>
      </c>
      <c r="H165" s="188">
        <f t="shared" si="29"/>
        <v>-0.11764705882352941</v>
      </c>
    </row>
    <row r="166" spans="2:13" ht="18.95" customHeight="1" thickBot="1" x14ac:dyDescent="0.25">
      <c r="B166" s="145" t="s">
        <v>514</v>
      </c>
      <c r="C166" s="145" t="s">
        <v>816</v>
      </c>
      <c r="D166" s="166">
        <v>2000</v>
      </c>
      <c r="E166" s="166">
        <v>2407.3000000000002</v>
      </c>
      <c r="F166" s="250">
        <v>2000</v>
      </c>
      <c r="G166" s="166">
        <v>3000</v>
      </c>
      <c r="H166" s="188">
        <f t="shared" si="29"/>
        <v>0.5</v>
      </c>
    </row>
    <row r="167" spans="2:13" ht="18.95" customHeight="1" thickTop="1" thickBot="1" x14ac:dyDescent="0.3">
      <c r="C167" s="150" t="s">
        <v>592</v>
      </c>
      <c r="D167" s="176">
        <f t="shared" ref="D167:F167" si="31">SUM(D165:D166)</f>
        <v>10500</v>
      </c>
      <c r="E167" s="176">
        <f t="shared" si="31"/>
        <v>9459.5600000000013</v>
      </c>
      <c r="F167" s="176">
        <f t="shared" si="31"/>
        <v>10500</v>
      </c>
      <c r="G167" s="176">
        <f>SUM(G165:G166)</f>
        <v>10500</v>
      </c>
      <c r="H167" s="262">
        <f t="shared" si="29"/>
        <v>0</v>
      </c>
    </row>
    <row r="168" spans="2:13" ht="18.95" customHeight="1" thickTop="1" x14ac:dyDescent="0.25">
      <c r="B168" s="140" t="s">
        <v>633</v>
      </c>
      <c r="C168" s="140"/>
    </row>
    <row r="169" spans="2:13" ht="18.95" customHeight="1" x14ac:dyDescent="0.2">
      <c r="B169" s="145" t="s">
        <v>522</v>
      </c>
      <c r="C169" s="145" t="s">
        <v>509</v>
      </c>
      <c r="D169" s="141">
        <v>78000</v>
      </c>
      <c r="E169" s="141">
        <v>74130</v>
      </c>
      <c r="F169" s="142">
        <v>78000</v>
      </c>
      <c r="G169" s="141">
        <v>0</v>
      </c>
      <c r="H169" s="188">
        <f t="shared" si="29"/>
        <v>-1</v>
      </c>
    </row>
    <row r="170" spans="2:13" ht="18.95" customHeight="1" x14ac:dyDescent="0.2">
      <c r="B170" s="145" t="s">
        <v>628</v>
      </c>
      <c r="C170" s="145" t="s">
        <v>629</v>
      </c>
      <c r="D170" s="141">
        <v>0</v>
      </c>
      <c r="E170" s="141">
        <v>233107.5</v>
      </c>
      <c r="F170" s="142">
        <v>0</v>
      </c>
      <c r="G170" s="141">
        <v>0</v>
      </c>
      <c r="H170" s="188">
        <v>0</v>
      </c>
    </row>
    <row r="171" spans="2:13" ht="18.95" customHeight="1" x14ac:dyDescent="0.2">
      <c r="B171" s="145" t="s">
        <v>115</v>
      </c>
      <c r="C171" s="145" t="s">
        <v>817</v>
      </c>
      <c r="D171" s="141">
        <v>800</v>
      </c>
      <c r="E171" s="141">
        <v>0</v>
      </c>
      <c r="F171" s="142">
        <v>250</v>
      </c>
      <c r="G171" s="141">
        <v>250</v>
      </c>
      <c r="H171" s="188">
        <f t="shared" si="29"/>
        <v>0</v>
      </c>
    </row>
    <row r="172" spans="2:13" ht="18.95" customHeight="1" x14ac:dyDescent="0.2">
      <c r="B172" s="145" t="s">
        <v>106</v>
      </c>
      <c r="C172" s="145" t="s">
        <v>276</v>
      </c>
      <c r="D172" s="146">
        <v>4000</v>
      </c>
      <c r="E172" s="146">
        <v>2919</v>
      </c>
      <c r="F172" s="147">
        <v>4000</v>
      </c>
      <c r="G172" s="146">
        <v>7500</v>
      </c>
      <c r="H172" s="188">
        <f>(G172-F172)/F172</f>
        <v>0.875</v>
      </c>
    </row>
    <row r="173" spans="2:13" ht="18.95" customHeight="1" x14ac:dyDescent="0.2">
      <c r="B173" s="145" t="s">
        <v>547</v>
      </c>
      <c r="C173" s="145" t="s">
        <v>622</v>
      </c>
      <c r="D173" s="146">
        <v>0</v>
      </c>
      <c r="E173" s="146">
        <v>0</v>
      </c>
      <c r="F173" s="147">
        <v>5000</v>
      </c>
      <c r="G173" s="146">
        <v>6000</v>
      </c>
      <c r="H173" s="188">
        <f>(G173-F173)/F173</f>
        <v>0.2</v>
      </c>
    </row>
    <row r="174" spans="2:13" ht="18.95" customHeight="1" x14ac:dyDescent="0.2">
      <c r="B174" s="145" t="s">
        <v>108</v>
      </c>
      <c r="C174" s="145" t="s">
        <v>828</v>
      </c>
      <c r="D174" s="141">
        <v>8000</v>
      </c>
      <c r="E174" s="141">
        <v>3299.06</v>
      </c>
      <c r="F174" s="142">
        <v>5000</v>
      </c>
      <c r="G174" s="141">
        <v>5000</v>
      </c>
      <c r="H174" s="188">
        <f>(G174-F174)/F174</f>
        <v>0</v>
      </c>
    </row>
    <row r="175" spans="2:13" ht="18.95" customHeight="1" x14ac:dyDescent="0.2">
      <c r="B175" s="145" t="s">
        <v>750</v>
      </c>
      <c r="C175" s="145" t="s">
        <v>634</v>
      </c>
      <c r="D175" s="141">
        <v>0</v>
      </c>
      <c r="E175" s="141">
        <v>0</v>
      </c>
      <c r="F175" s="142">
        <v>0</v>
      </c>
      <c r="G175" s="141">
        <v>2100</v>
      </c>
      <c r="H175" s="188">
        <v>1</v>
      </c>
    </row>
    <row r="176" spans="2:13" ht="18.95" customHeight="1" thickBot="1" x14ac:dyDescent="0.25">
      <c r="B176" s="145" t="s">
        <v>751</v>
      </c>
      <c r="C176" s="145" t="s">
        <v>744</v>
      </c>
      <c r="D176" s="141">
        <v>0</v>
      </c>
      <c r="E176" s="141">
        <v>0</v>
      </c>
      <c r="F176" s="142">
        <v>0</v>
      </c>
      <c r="G176" s="141">
        <v>2500</v>
      </c>
      <c r="H176" s="188">
        <v>1</v>
      </c>
    </row>
    <row r="177" spans="1:13" s="140" customFormat="1" ht="18.95" customHeight="1" thickTop="1" thickBot="1" x14ac:dyDescent="0.3">
      <c r="C177" s="150" t="s">
        <v>592</v>
      </c>
      <c r="D177" s="176">
        <f t="shared" ref="D177:F177" si="32">SUM(D169:D176)</f>
        <v>90800</v>
      </c>
      <c r="E177" s="176">
        <f t="shared" si="32"/>
        <v>313455.56</v>
      </c>
      <c r="F177" s="176">
        <f t="shared" si="32"/>
        <v>92250</v>
      </c>
      <c r="G177" s="176">
        <f>SUM(G169:G176)</f>
        <v>23350</v>
      </c>
      <c r="H177" s="262">
        <f t="shared" si="29"/>
        <v>-0.74688346883468837</v>
      </c>
      <c r="I177" s="188"/>
      <c r="J177" s="274"/>
      <c r="K177" s="274"/>
      <c r="L177" s="151"/>
      <c r="M177" s="151"/>
    </row>
    <row r="178" spans="1:13" ht="18.95" customHeight="1" thickTop="1" x14ac:dyDescent="0.25">
      <c r="A178" s="140"/>
      <c r="B178" s="140" t="s">
        <v>606</v>
      </c>
      <c r="C178" s="141"/>
      <c r="D178" s="142"/>
      <c r="E178" s="142"/>
      <c r="F178" s="141"/>
      <c r="G178" s="189"/>
      <c r="M178" s="145"/>
    </row>
    <row r="179" spans="1:13" ht="18.95" customHeight="1" x14ac:dyDescent="0.25">
      <c r="A179" s="140"/>
      <c r="B179" s="140" t="s">
        <v>818</v>
      </c>
      <c r="C179" s="141" t="s">
        <v>626</v>
      </c>
      <c r="D179" s="142">
        <v>0</v>
      </c>
      <c r="E179" s="142">
        <v>0</v>
      </c>
      <c r="F179" s="141">
        <v>0</v>
      </c>
      <c r="G179" s="189">
        <v>2000</v>
      </c>
      <c r="H179" s="188">
        <v>1</v>
      </c>
      <c r="M179" s="145"/>
    </row>
    <row r="180" spans="1:13" ht="18.95" customHeight="1" x14ac:dyDescent="0.2">
      <c r="B180" s="145" t="s">
        <v>117</v>
      </c>
      <c r="C180" s="145" t="s">
        <v>819</v>
      </c>
      <c r="D180" s="141">
        <v>1500</v>
      </c>
      <c r="E180" s="141">
        <v>805</v>
      </c>
      <c r="F180" s="142">
        <v>0</v>
      </c>
      <c r="G180" s="141">
        <v>0</v>
      </c>
      <c r="H180" s="188">
        <v>0</v>
      </c>
    </row>
    <row r="181" spans="1:13" ht="18.95" customHeight="1" x14ac:dyDescent="0.2">
      <c r="B181" s="145" t="s">
        <v>119</v>
      </c>
      <c r="C181" s="145" t="s">
        <v>820</v>
      </c>
      <c r="D181" s="146">
        <v>8000</v>
      </c>
      <c r="E181" s="146">
        <v>2174.73</v>
      </c>
      <c r="F181" s="147">
        <v>10000</v>
      </c>
      <c r="G181" s="146">
        <v>10000</v>
      </c>
      <c r="H181" s="188">
        <f t="shared" si="29"/>
        <v>0</v>
      </c>
    </row>
    <row r="182" spans="1:13" ht="18.95" customHeight="1" x14ac:dyDescent="0.2">
      <c r="B182" s="145" t="s">
        <v>120</v>
      </c>
      <c r="C182" s="145" t="s">
        <v>822</v>
      </c>
      <c r="D182" s="146">
        <v>3500</v>
      </c>
      <c r="E182" s="146">
        <v>1771.16</v>
      </c>
      <c r="F182" s="147">
        <v>0</v>
      </c>
      <c r="G182" s="146">
        <v>1500</v>
      </c>
      <c r="H182" s="188">
        <v>1</v>
      </c>
    </row>
    <row r="183" spans="1:13" ht="18.95" customHeight="1" thickBot="1" x14ac:dyDescent="0.25">
      <c r="B183" s="145" t="s">
        <v>109</v>
      </c>
      <c r="C183" s="145" t="s">
        <v>829</v>
      </c>
      <c r="D183" s="146">
        <v>1500</v>
      </c>
      <c r="E183" s="146">
        <v>4158.1400000000003</v>
      </c>
      <c r="F183" s="147">
        <v>3000</v>
      </c>
      <c r="G183" s="146">
        <v>4500</v>
      </c>
      <c r="H183" s="188">
        <f t="shared" si="29"/>
        <v>0.5</v>
      </c>
    </row>
    <row r="184" spans="1:13" s="140" customFormat="1" ht="18.95" customHeight="1" thickTop="1" thickBot="1" x14ac:dyDescent="0.3">
      <c r="C184" s="150" t="s">
        <v>592</v>
      </c>
      <c r="D184" s="176">
        <f t="shared" ref="D184:F184" si="33">SUM(D179:D183)</f>
        <v>14500</v>
      </c>
      <c r="E184" s="176">
        <f t="shared" si="33"/>
        <v>8909.0300000000007</v>
      </c>
      <c r="F184" s="176">
        <f t="shared" si="33"/>
        <v>13000</v>
      </c>
      <c r="G184" s="176">
        <f>SUM(G179:G183)</f>
        <v>18000</v>
      </c>
      <c r="H184" s="262">
        <f t="shared" si="29"/>
        <v>0.38461538461538464</v>
      </c>
      <c r="I184" s="188"/>
      <c r="J184" s="274"/>
      <c r="K184" s="274"/>
      <c r="L184" s="151"/>
      <c r="M184" s="151"/>
    </row>
    <row r="185" spans="1:13" ht="18.95" customHeight="1" thickTop="1" x14ac:dyDescent="0.25">
      <c r="A185" s="140"/>
      <c r="B185" s="140" t="s">
        <v>605</v>
      </c>
      <c r="C185" s="141"/>
      <c r="D185" s="142"/>
      <c r="E185" s="142"/>
      <c r="F185" s="141"/>
      <c r="G185" s="189"/>
      <c r="M185" s="145"/>
    </row>
    <row r="186" spans="1:13" ht="18.95" customHeight="1" thickBot="1" x14ac:dyDescent="0.25">
      <c r="B186" s="145" t="s">
        <v>487</v>
      </c>
      <c r="C186" s="145" t="s">
        <v>823</v>
      </c>
      <c r="D186" s="152">
        <v>1200</v>
      </c>
      <c r="E186" s="152">
        <v>867.64</v>
      </c>
      <c r="F186" s="241">
        <v>1200</v>
      </c>
      <c r="G186" s="141">
        <v>1200</v>
      </c>
      <c r="H186" s="188">
        <f t="shared" si="29"/>
        <v>0</v>
      </c>
    </row>
    <row r="187" spans="1:13" ht="18.95" customHeight="1" thickBot="1" x14ac:dyDescent="0.25">
      <c r="B187" s="145" t="s">
        <v>393</v>
      </c>
      <c r="C187" s="145" t="s">
        <v>392</v>
      </c>
      <c r="D187" s="167">
        <v>3431</v>
      </c>
      <c r="E187" s="167">
        <v>3431</v>
      </c>
      <c r="F187" s="239">
        <v>6853</v>
      </c>
      <c r="G187" s="141">
        <v>8750</v>
      </c>
      <c r="H187" s="188">
        <f t="shared" si="29"/>
        <v>0.27681307456588355</v>
      </c>
    </row>
    <row r="188" spans="1:13" s="140" customFormat="1" ht="18.95" customHeight="1" thickTop="1" thickBot="1" x14ac:dyDescent="0.3">
      <c r="C188" s="150" t="s">
        <v>592</v>
      </c>
      <c r="D188" s="176">
        <f>SUM(D186:D187)</f>
        <v>4631</v>
      </c>
      <c r="E188" s="176">
        <f>SUM(E186:E187)</f>
        <v>4298.6400000000003</v>
      </c>
      <c r="F188" s="176">
        <f>SUM(F186:F187)</f>
        <v>8053</v>
      </c>
      <c r="G188" s="176">
        <f>SUM(G186:G187)</f>
        <v>9950</v>
      </c>
      <c r="H188" s="262">
        <f>(G188-F188)/F188</f>
        <v>0.23556438594312679</v>
      </c>
      <c r="I188" s="188"/>
      <c r="J188" s="274"/>
      <c r="K188" s="274"/>
      <c r="L188" s="151"/>
      <c r="M188" s="151"/>
    </row>
    <row r="189" spans="1:13" ht="18.95" customHeight="1" thickTop="1" x14ac:dyDescent="0.25">
      <c r="A189" s="140"/>
      <c r="B189" s="140" t="s">
        <v>585</v>
      </c>
      <c r="C189" s="141"/>
      <c r="D189" s="142"/>
      <c r="E189" s="142"/>
      <c r="F189" s="141"/>
      <c r="G189" s="189"/>
      <c r="M189" s="145"/>
    </row>
    <row r="190" spans="1:13" ht="18.95" customHeight="1" x14ac:dyDescent="0.2">
      <c r="B190" s="145" t="s">
        <v>546</v>
      </c>
      <c r="C190" s="145" t="s">
        <v>734</v>
      </c>
      <c r="D190" s="141">
        <v>0</v>
      </c>
      <c r="E190" s="141">
        <v>0</v>
      </c>
      <c r="F190" s="142">
        <v>100</v>
      </c>
      <c r="G190" s="141">
        <v>100</v>
      </c>
      <c r="H190" s="188">
        <f>(G190-F190)/F190</f>
        <v>0</v>
      </c>
    </row>
    <row r="191" spans="1:13" ht="18.95" customHeight="1" thickBot="1" x14ac:dyDescent="0.25">
      <c r="B191" s="145" t="s">
        <v>121</v>
      </c>
      <c r="C191" s="145" t="s">
        <v>733</v>
      </c>
      <c r="D191" s="141">
        <v>0</v>
      </c>
      <c r="E191" s="141">
        <v>0</v>
      </c>
      <c r="F191" s="142">
        <v>0</v>
      </c>
      <c r="G191" s="141">
        <v>200000</v>
      </c>
      <c r="H191" s="188">
        <v>1</v>
      </c>
      <c r="L191" s="145"/>
      <c r="M191" s="145"/>
    </row>
    <row r="192" spans="1:13" s="140" customFormat="1" ht="18.95" customHeight="1" thickTop="1" thickBot="1" x14ac:dyDescent="0.3">
      <c r="C192" s="150" t="s">
        <v>592</v>
      </c>
      <c r="D192" s="176">
        <f t="shared" ref="D192:F192" si="34">SUM(D190:D191)</f>
        <v>0</v>
      </c>
      <c r="E192" s="176">
        <f t="shared" si="34"/>
        <v>0</v>
      </c>
      <c r="F192" s="176">
        <f t="shared" si="34"/>
        <v>100</v>
      </c>
      <c r="G192" s="176">
        <f>SUM(G190:G191)</f>
        <v>200100</v>
      </c>
      <c r="H192" s="262">
        <f>(G192-F192)/F192</f>
        <v>2000</v>
      </c>
      <c r="I192" s="188"/>
      <c r="J192" s="274"/>
      <c r="K192" s="274"/>
      <c r="L192" s="151"/>
      <c r="M192" s="151"/>
    </row>
    <row r="193" spans="1:13" ht="18.95" customHeight="1" thickTop="1" thickBot="1" x14ac:dyDescent="0.3">
      <c r="B193" s="140"/>
      <c r="C193" s="140"/>
    </row>
    <row r="194" spans="1:13" s="140" customFormat="1" ht="18.95" customHeight="1" thickTop="1" thickBot="1" x14ac:dyDescent="0.3">
      <c r="B194" s="255" t="s">
        <v>765</v>
      </c>
      <c r="C194" s="255"/>
      <c r="D194" s="179">
        <f>SUM(D192,D188,D184,D177,D167,D163,D157,D152,D144)</f>
        <v>727196.9</v>
      </c>
      <c r="E194" s="179">
        <f>SUM(E192,E188,E184,E177,E167,E163,E157,E152,E144)</f>
        <v>561615.64</v>
      </c>
      <c r="F194" s="179">
        <f>SUM(F192,F188,F184,F177,F167,F163,F157,F152,F144)</f>
        <v>792502.06480000005</v>
      </c>
      <c r="G194" s="179">
        <f>SUM(G192,G188,G184,G177,G167,G163,G157,G152,G144)</f>
        <v>1157328.5548</v>
      </c>
      <c r="H194" s="263">
        <f t="shared" ref="H194" si="35">(G194-F194)/F194</f>
        <v>0.46034768387899344</v>
      </c>
      <c r="I194" s="188"/>
      <c r="J194" s="274"/>
      <c r="K194" s="274"/>
      <c r="L194" s="151"/>
      <c r="M194" s="151"/>
    </row>
    <row r="195" spans="1:13" ht="18.95" customHeight="1" thickTop="1" x14ac:dyDescent="0.2">
      <c r="B195" s="40"/>
      <c r="C195" s="40"/>
      <c r="D195" s="148"/>
      <c r="E195" s="148"/>
      <c r="F195" s="157"/>
    </row>
    <row r="196" spans="1:13" ht="18.95" customHeight="1" x14ac:dyDescent="0.25">
      <c r="A196" s="140" t="s">
        <v>756</v>
      </c>
      <c r="B196" s="141"/>
      <c r="C196" s="141"/>
      <c r="D196" s="238"/>
      <c r="E196" s="238"/>
      <c r="F196" s="143"/>
      <c r="G196" s="189"/>
      <c r="J196" s="144"/>
      <c r="K196" s="144"/>
      <c r="L196" s="145"/>
      <c r="M196" s="145"/>
    </row>
    <row r="197" spans="1:13" ht="18.95" customHeight="1" x14ac:dyDescent="0.25">
      <c r="A197" s="140"/>
      <c r="B197" s="140" t="s">
        <v>591</v>
      </c>
      <c r="C197" s="141"/>
      <c r="D197" s="142"/>
      <c r="E197" s="142"/>
      <c r="F197" s="141"/>
      <c r="G197" s="189"/>
      <c r="M197" s="145"/>
    </row>
    <row r="198" spans="1:13" ht="18.95" customHeight="1" x14ac:dyDescent="0.2">
      <c r="B198" s="145" t="s">
        <v>123</v>
      </c>
      <c r="C198" s="145" t="s">
        <v>272</v>
      </c>
      <c r="D198" s="141">
        <v>216437</v>
      </c>
      <c r="E198" s="141">
        <v>213180.43</v>
      </c>
      <c r="F198" s="142">
        <v>222814</v>
      </c>
      <c r="G198" s="141">
        <v>229360</v>
      </c>
      <c r="H198" s="188">
        <f t="shared" ref="H198:H207" si="36">(G198-F198)/F198</f>
        <v>2.9378764350534527E-2</v>
      </c>
    </row>
    <row r="199" spans="1:13" ht="18.95" customHeight="1" x14ac:dyDescent="0.2">
      <c r="B199" s="145" t="s">
        <v>491</v>
      </c>
      <c r="C199" s="145" t="s">
        <v>486</v>
      </c>
      <c r="D199" s="146">
        <v>1891.75</v>
      </c>
      <c r="E199" s="146">
        <v>1705.56</v>
      </c>
      <c r="F199" s="147">
        <v>168</v>
      </c>
      <c r="G199" s="146">
        <v>173.26</v>
      </c>
      <c r="H199" s="188">
        <f t="shared" si="36"/>
        <v>3.1309523809523752E-2</v>
      </c>
    </row>
    <row r="200" spans="1:13" ht="18.95" customHeight="1" x14ac:dyDescent="0.2">
      <c r="B200" s="145" t="s">
        <v>124</v>
      </c>
      <c r="C200" s="145" t="s">
        <v>598</v>
      </c>
      <c r="D200" s="146">
        <v>5000</v>
      </c>
      <c r="E200" s="146">
        <v>5457.76</v>
      </c>
      <c r="F200" s="147">
        <v>5000</v>
      </c>
      <c r="G200" s="146">
        <v>5000</v>
      </c>
      <c r="H200" s="188">
        <f t="shared" si="36"/>
        <v>0</v>
      </c>
    </row>
    <row r="201" spans="1:13" ht="18.95" customHeight="1" x14ac:dyDescent="0.2">
      <c r="B201" s="145" t="s">
        <v>125</v>
      </c>
      <c r="C201" s="145" t="s">
        <v>275</v>
      </c>
      <c r="D201" s="146">
        <v>17196</v>
      </c>
      <c r="E201" s="146">
        <v>1597.59</v>
      </c>
      <c r="F201" s="147">
        <v>17555</v>
      </c>
      <c r="G201" s="146">
        <v>18059</v>
      </c>
      <c r="H201" s="188">
        <f t="shared" si="36"/>
        <v>2.8709769296496726E-2</v>
      </c>
    </row>
    <row r="202" spans="1:13" ht="18.95" customHeight="1" x14ac:dyDescent="0.2">
      <c r="B202" s="145" t="s">
        <v>555</v>
      </c>
      <c r="C202" s="145" t="s">
        <v>550</v>
      </c>
      <c r="D202" s="146">
        <v>0</v>
      </c>
      <c r="E202" s="146">
        <v>817.98</v>
      </c>
      <c r="F202" s="147">
        <f>SUM(F198:F200)*0.44%</f>
        <v>1003.1208</v>
      </c>
      <c r="G202" s="147">
        <f>SUM(G198:G200)*0.44%</f>
        <v>1031.9463440000002</v>
      </c>
      <c r="H202" s="188">
        <f t="shared" si="36"/>
        <v>2.8735865112158126E-2</v>
      </c>
    </row>
    <row r="203" spans="1:13" ht="18.95" customHeight="1" x14ac:dyDescent="0.2">
      <c r="B203" s="145" t="s">
        <v>126</v>
      </c>
      <c r="C203" s="145" t="s">
        <v>588</v>
      </c>
      <c r="D203" s="146">
        <v>12398</v>
      </c>
      <c r="E203" s="146">
        <v>12119.77</v>
      </c>
      <c r="F203" s="147">
        <v>12142</v>
      </c>
      <c r="G203" s="146">
        <v>13242</v>
      </c>
      <c r="H203" s="188">
        <f t="shared" si="36"/>
        <v>9.0594630209191243E-2</v>
      </c>
    </row>
    <row r="204" spans="1:13" ht="18.95" customHeight="1" x14ac:dyDescent="0.2">
      <c r="B204" s="145" t="s">
        <v>127</v>
      </c>
      <c r="C204" s="145" t="s">
        <v>590</v>
      </c>
      <c r="D204" s="146">
        <v>35476</v>
      </c>
      <c r="E204" s="146">
        <v>36184.03</v>
      </c>
      <c r="F204" s="147">
        <v>38026</v>
      </c>
      <c r="G204" s="146">
        <v>41010</v>
      </c>
      <c r="H204" s="188">
        <f t="shared" si="36"/>
        <v>7.84726239941093E-2</v>
      </c>
    </row>
    <row r="205" spans="1:13" ht="18.95" customHeight="1" x14ac:dyDescent="0.2">
      <c r="B205" s="145" t="s">
        <v>761</v>
      </c>
      <c r="C205" s="145" t="s">
        <v>604</v>
      </c>
      <c r="D205" s="146">
        <v>0</v>
      </c>
      <c r="E205" s="146">
        <v>0</v>
      </c>
      <c r="F205" s="147">
        <v>0</v>
      </c>
      <c r="G205" s="146">
        <v>1589</v>
      </c>
      <c r="H205" s="188">
        <v>1</v>
      </c>
    </row>
    <row r="206" spans="1:13" ht="18.95" customHeight="1" thickBot="1" x14ac:dyDescent="0.25">
      <c r="B206" s="145" t="s">
        <v>128</v>
      </c>
      <c r="C206" s="145" t="s">
        <v>811</v>
      </c>
      <c r="D206" s="141">
        <v>840</v>
      </c>
      <c r="E206" s="141">
        <v>751.4</v>
      </c>
      <c r="F206" s="142">
        <v>700</v>
      </c>
      <c r="G206" s="141">
        <v>930</v>
      </c>
      <c r="H206" s="188">
        <f t="shared" si="36"/>
        <v>0.32857142857142857</v>
      </c>
    </row>
    <row r="207" spans="1:13" s="150" customFormat="1" ht="18.95" customHeight="1" thickTop="1" thickBot="1" x14ac:dyDescent="0.3">
      <c r="C207" s="150" t="s">
        <v>592</v>
      </c>
      <c r="D207" s="182">
        <f t="shared" ref="D207:F207" si="37">SUM(D197:D206)</f>
        <v>289238.75</v>
      </c>
      <c r="E207" s="182">
        <f t="shared" si="37"/>
        <v>271814.52</v>
      </c>
      <c r="F207" s="182">
        <f t="shared" si="37"/>
        <v>297408.12080000003</v>
      </c>
      <c r="G207" s="182">
        <f>SUM(G197:G206)</f>
        <v>310395.20634400001</v>
      </c>
      <c r="H207" s="262">
        <f t="shared" si="36"/>
        <v>4.3667555240475366E-2</v>
      </c>
      <c r="I207" s="188"/>
      <c r="J207" s="165"/>
      <c r="K207" s="165"/>
      <c r="L207" s="165"/>
      <c r="M207" s="165"/>
    </row>
    <row r="208" spans="1:13" ht="18.95" customHeight="1" thickTop="1" x14ac:dyDescent="0.25">
      <c r="A208" s="140"/>
      <c r="B208" s="140" t="s">
        <v>578</v>
      </c>
      <c r="C208" s="141"/>
      <c r="D208" s="142"/>
      <c r="E208" s="142"/>
      <c r="F208" s="141"/>
      <c r="G208" s="189"/>
      <c r="M208" s="145"/>
    </row>
    <row r="209" spans="1:13" ht="18.95" customHeight="1" x14ac:dyDescent="0.25">
      <c r="A209" s="140"/>
      <c r="B209" s="145" t="s">
        <v>762</v>
      </c>
      <c r="C209" s="141" t="s">
        <v>624</v>
      </c>
      <c r="D209" s="142">
        <v>0</v>
      </c>
      <c r="E209" s="142">
        <v>0</v>
      </c>
      <c r="F209" s="141">
        <v>0</v>
      </c>
      <c r="G209" s="189">
        <v>200</v>
      </c>
      <c r="H209" s="188">
        <v>1</v>
      </c>
      <c r="M209" s="145"/>
    </row>
    <row r="210" spans="1:13" ht="18.95" customHeight="1" x14ac:dyDescent="0.2">
      <c r="B210" s="145" t="s">
        <v>132</v>
      </c>
      <c r="C210" s="145" t="s">
        <v>830</v>
      </c>
      <c r="D210" s="141">
        <v>300</v>
      </c>
      <c r="E210" s="141">
        <v>266.36</v>
      </c>
      <c r="F210" s="142">
        <v>300</v>
      </c>
      <c r="G210" s="141">
        <v>300</v>
      </c>
      <c r="H210" s="188">
        <f>(G210-F210)/F210</f>
        <v>0</v>
      </c>
    </row>
    <row r="211" spans="1:13" ht="18.95" customHeight="1" thickBot="1" x14ac:dyDescent="0.25">
      <c r="B211" s="145" t="s">
        <v>133</v>
      </c>
      <c r="C211" s="145" t="s">
        <v>277</v>
      </c>
      <c r="D211" s="168">
        <v>300</v>
      </c>
      <c r="E211" s="168">
        <v>69.72</v>
      </c>
      <c r="F211" s="251">
        <v>300</v>
      </c>
      <c r="G211" s="168">
        <v>300</v>
      </c>
      <c r="H211" s="188">
        <f>(G211-F211)/F211</f>
        <v>0</v>
      </c>
    </row>
    <row r="212" spans="1:13" s="140" customFormat="1" ht="18.95" customHeight="1" thickTop="1" thickBot="1" x14ac:dyDescent="0.3">
      <c r="C212" s="150" t="s">
        <v>592</v>
      </c>
      <c r="D212" s="176">
        <f t="shared" ref="D212:F212" si="38">SUM(D209:D211)</f>
        <v>600</v>
      </c>
      <c r="E212" s="176">
        <f t="shared" si="38"/>
        <v>336.08000000000004</v>
      </c>
      <c r="F212" s="176">
        <f t="shared" si="38"/>
        <v>600</v>
      </c>
      <c r="G212" s="176">
        <f>SUM(G209:G211)</f>
        <v>800</v>
      </c>
      <c r="H212" s="262">
        <f>(G212-F212)/F212</f>
        <v>0.33333333333333331</v>
      </c>
      <c r="I212" s="188"/>
      <c r="J212" s="274"/>
      <c r="K212" s="274"/>
      <c r="L212" s="151"/>
      <c r="M212" s="151"/>
    </row>
    <row r="213" spans="1:13" ht="18.95" customHeight="1" thickTop="1" x14ac:dyDescent="0.25">
      <c r="A213" s="140"/>
      <c r="B213" s="140" t="s">
        <v>579</v>
      </c>
      <c r="C213" s="141"/>
      <c r="D213" s="142"/>
      <c r="E213" s="142"/>
      <c r="F213" s="141"/>
      <c r="G213" s="189"/>
      <c r="M213" s="145"/>
    </row>
    <row r="214" spans="1:13" ht="18.95" customHeight="1" x14ac:dyDescent="0.2">
      <c r="B214" s="145" t="s">
        <v>134</v>
      </c>
      <c r="C214" s="145" t="s">
        <v>270</v>
      </c>
      <c r="D214" s="142">
        <v>7950</v>
      </c>
      <c r="E214" s="142">
        <v>8597.6200000000008</v>
      </c>
      <c r="F214" s="142">
        <v>9197</v>
      </c>
      <c r="G214" s="141">
        <v>9657</v>
      </c>
      <c r="H214" s="188">
        <f t="shared" ref="H214:H256" si="39">(G214-F214)/F214</f>
        <v>5.0016309666195496E-2</v>
      </c>
    </row>
    <row r="215" spans="1:13" ht="18.95" customHeight="1" x14ac:dyDescent="0.2">
      <c r="B215" s="145" t="s">
        <v>129</v>
      </c>
      <c r="C215" s="145" t="s">
        <v>778</v>
      </c>
      <c r="D215" s="146">
        <v>2250</v>
      </c>
      <c r="E215" s="146">
        <v>3382.35</v>
      </c>
      <c r="F215" s="147">
        <v>2500</v>
      </c>
      <c r="G215" s="146">
        <v>2500</v>
      </c>
      <c r="H215" s="188">
        <f t="shared" si="39"/>
        <v>0</v>
      </c>
    </row>
    <row r="216" spans="1:13" ht="18.95" customHeight="1" thickBot="1" x14ac:dyDescent="0.25">
      <c r="B216" s="145" t="s">
        <v>130</v>
      </c>
      <c r="C216" s="145" t="s">
        <v>278</v>
      </c>
      <c r="D216" s="168">
        <v>1000</v>
      </c>
      <c r="E216" s="168">
        <v>1385.32</v>
      </c>
      <c r="F216" s="251">
        <v>1500</v>
      </c>
      <c r="G216" s="168">
        <v>2300</v>
      </c>
      <c r="H216" s="188">
        <f t="shared" si="39"/>
        <v>0.53333333333333333</v>
      </c>
    </row>
    <row r="217" spans="1:13" s="140" customFormat="1" ht="18.95" customHeight="1" thickTop="1" thickBot="1" x14ac:dyDescent="0.3">
      <c r="C217" s="150" t="s">
        <v>592</v>
      </c>
      <c r="D217" s="176">
        <f t="shared" ref="D217:F217" si="40">SUM(D214:D216)</f>
        <v>11200</v>
      </c>
      <c r="E217" s="176">
        <f t="shared" si="40"/>
        <v>13365.29</v>
      </c>
      <c r="F217" s="176">
        <f t="shared" si="40"/>
        <v>13197</v>
      </c>
      <c r="G217" s="176">
        <f>SUM(G214:G216)</f>
        <v>14457</v>
      </c>
      <c r="H217" s="262">
        <f t="shared" si="39"/>
        <v>9.5476244601045687E-2</v>
      </c>
      <c r="I217" s="188"/>
      <c r="J217" s="274"/>
      <c r="K217" s="274"/>
      <c r="L217" s="151"/>
      <c r="M217" s="151"/>
    </row>
    <row r="218" spans="1:13" ht="18.95" customHeight="1" thickTop="1" x14ac:dyDescent="0.25">
      <c r="A218" s="140"/>
      <c r="B218" s="140" t="s">
        <v>580</v>
      </c>
      <c r="C218" s="141"/>
      <c r="D218" s="142"/>
      <c r="E218" s="142"/>
      <c r="F218" s="141"/>
      <c r="G218" s="189"/>
      <c r="M218" s="145"/>
    </row>
    <row r="219" spans="1:13" ht="18.95" customHeight="1" thickBot="1" x14ac:dyDescent="0.25">
      <c r="B219" s="145" t="s">
        <v>140</v>
      </c>
      <c r="C219" s="145" t="s">
        <v>280</v>
      </c>
      <c r="D219" s="149">
        <v>20000</v>
      </c>
      <c r="E219" s="149">
        <v>19234.53</v>
      </c>
      <c r="F219" s="240">
        <v>20000</v>
      </c>
      <c r="G219" s="141">
        <v>21000</v>
      </c>
      <c r="H219" s="188">
        <f t="shared" si="39"/>
        <v>0.05</v>
      </c>
    </row>
    <row r="220" spans="1:13" ht="18.95" customHeight="1" thickTop="1" thickBot="1" x14ac:dyDescent="0.3">
      <c r="C220" s="150" t="s">
        <v>592</v>
      </c>
      <c r="D220" s="183">
        <f t="shared" ref="D220:F220" si="41">SUM(D219)</f>
        <v>20000</v>
      </c>
      <c r="E220" s="183">
        <f t="shared" si="41"/>
        <v>19234.53</v>
      </c>
      <c r="F220" s="183">
        <f t="shared" si="41"/>
        <v>20000</v>
      </c>
      <c r="G220" s="183">
        <f>SUM(G219)</f>
        <v>21000</v>
      </c>
      <c r="H220" s="262">
        <f t="shared" si="39"/>
        <v>0.05</v>
      </c>
    </row>
    <row r="221" spans="1:13" ht="18.95" customHeight="1" thickTop="1" x14ac:dyDescent="0.25">
      <c r="A221" s="140"/>
      <c r="B221" s="140" t="s">
        <v>581</v>
      </c>
      <c r="C221" s="141"/>
      <c r="D221" s="142"/>
      <c r="E221" s="142"/>
      <c r="F221" s="141"/>
      <c r="G221" s="189"/>
      <c r="M221" s="145"/>
    </row>
    <row r="222" spans="1:13" ht="18.95" customHeight="1" x14ac:dyDescent="0.2">
      <c r="B222" s="145" t="s">
        <v>135</v>
      </c>
      <c r="C222" s="145" t="s">
        <v>261</v>
      </c>
      <c r="D222" s="141">
        <v>2700</v>
      </c>
      <c r="E222" s="141">
        <v>2460.94</v>
      </c>
      <c r="F222" s="142">
        <v>2700</v>
      </c>
      <c r="G222" s="141">
        <v>2700</v>
      </c>
      <c r="H222" s="188">
        <f t="shared" si="39"/>
        <v>0</v>
      </c>
    </row>
    <row r="223" spans="1:13" ht="18.95" customHeight="1" x14ac:dyDescent="0.2">
      <c r="B223" s="145" t="s">
        <v>136</v>
      </c>
      <c r="C223" s="145" t="s">
        <v>262</v>
      </c>
      <c r="D223" s="146">
        <v>4000</v>
      </c>
      <c r="E223" s="146">
        <v>3328.51</v>
      </c>
      <c r="F223" s="147">
        <v>3500</v>
      </c>
      <c r="G223" s="146">
        <v>3500</v>
      </c>
      <c r="H223" s="188">
        <f t="shared" si="39"/>
        <v>0</v>
      </c>
    </row>
    <row r="224" spans="1:13" ht="18.95" customHeight="1" x14ac:dyDescent="0.2">
      <c r="B224" s="145" t="s">
        <v>137</v>
      </c>
      <c r="C224" s="145" t="s">
        <v>279</v>
      </c>
      <c r="D224" s="146">
        <v>5200</v>
      </c>
      <c r="E224" s="146">
        <v>5553.41</v>
      </c>
      <c r="F224" s="147">
        <v>6000</v>
      </c>
      <c r="G224" s="146">
        <v>6000</v>
      </c>
      <c r="H224" s="188">
        <f t="shared" si="39"/>
        <v>0</v>
      </c>
    </row>
    <row r="225" spans="1:13" ht="18.95" customHeight="1" x14ac:dyDescent="0.2">
      <c r="B225" s="145" t="s">
        <v>545</v>
      </c>
      <c r="C225" s="145" t="s">
        <v>264</v>
      </c>
      <c r="D225" s="146">
        <v>1000</v>
      </c>
      <c r="E225" s="146">
        <v>6247.59</v>
      </c>
      <c r="F225" s="147">
        <v>5000</v>
      </c>
      <c r="G225" s="146">
        <v>7000</v>
      </c>
      <c r="H225" s="188">
        <f t="shared" si="39"/>
        <v>0.4</v>
      </c>
    </row>
    <row r="226" spans="1:13" ht="18.95" customHeight="1" thickBot="1" x14ac:dyDescent="0.25">
      <c r="B226" s="145" t="s">
        <v>138</v>
      </c>
      <c r="C226" s="145" t="s">
        <v>265</v>
      </c>
      <c r="D226" s="141">
        <v>2000</v>
      </c>
      <c r="E226" s="141">
        <v>1338.61</v>
      </c>
      <c r="F226" s="142">
        <v>1600</v>
      </c>
      <c r="G226" s="141">
        <v>1600</v>
      </c>
      <c r="H226" s="188">
        <f t="shared" si="39"/>
        <v>0</v>
      </c>
    </row>
    <row r="227" spans="1:13" s="140" customFormat="1" ht="18.95" customHeight="1" thickTop="1" thickBot="1" x14ac:dyDescent="0.3">
      <c r="C227" s="150" t="s">
        <v>592</v>
      </c>
      <c r="D227" s="176">
        <f t="shared" ref="D227:F227" si="42">SUM(D222:D226)</f>
        <v>14900</v>
      </c>
      <c r="E227" s="176">
        <f t="shared" si="42"/>
        <v>18929.060000000001</v>
      </c>
      <c r="F227" s="176">
        <f t="shared" si="42"/>
        <v>18800</v>
      </c>
      <c r="G227" s="176">
        <f>SUM(G222:G226)</f>
        <v>20800</v>
      </c>
      <c r="H227" s="262">
        <f t="shared" si="39"/>
        <v>0.10638297872340426</v>
      </c>
      <c r="I227" s="188"/>
      <c r="J227" s="274"/>
      <c r="K227" s="274"/>
      <c r="L227" s="151"/>
      <c r="M227" s="151"/>
    </row>
    <row r="228" spans="1:13" ht="18.95" customHeight="1" thickTop="1" x14ac:dyDescent="0.25">
      <c r="A228" s="140"/>
      <c r="B228" s="140" t="s">
        <v>582</v>
      </c>
      <c r="C228" s="141"/>
      <c r="D228" s="142"/>
      <c r="E228" s="142"/>
      <c r="F228" s="141"/>
      <c r="G228" s="189"/>
      <c r="M228" s="145"/>
    </row>
    <row r="229" spans="1:13" ht="18.95" customHeight="1" x14ac:dyDescent="0.25">
      <c r="A229" s="140"/>
      <c r="B229" s="140"/>
      <c r="C229" s="141" t="s">
        <v>744</v>
      </c>
      <c r="D229" s="142">
        <v>0</v>
      </c>
      <c r="E229" s="142">
        <v>0</v>
      </c>
      <c r="F229" s="141">
        <v>0</v>
      </c>
      <c r="G229" s="189">
        <v>2392.59</v>
      </c>
      <c r="H229" s="188">
        <v>1</v>
      </c>
      <c r="M229" s="145"/>
    </row>
    <row r="230" spans="1:13" ht="18.95" customHeight="1" thickBot="1" x14ac:dyDescent="0.3">
      <c r="A230" s="140"/>
      <c r="B230" s="140"/>
      <c r="C230" s="141" t="s">
        <v>635</v>
      </c>
      <c r="D230" s="142">
        <v>0</v>
      </c>
      <c r="E230" s="142">
        <v>0</v>
      </c>
      <c r="F230" s="141">
        <v>0</v>
      </c>
      <c r="G230" s="189">
        <v>1100</v>
      </c>
      <c r="H230" s="188">
        <v>1</v>
      </c>
      <c r="M230" s="145"/>
    </row>
    <row r="231" spans="1:13" s="140" customFormat="1" ht="18.95" customHeight="1" thickTop="1" thickBot="1" x14ac:dyDescent="0.3">
      <c r="C231" s="154" t="s">
        <v>592</v>
      </c>
      <c r="D231" s="176">
        <f t="shared" ref="D231:F231" si="43">SUM(D229:D230)</f>
        <v>0</v>
      </c>
      <c r="E231" s="176">
        <f t="shared" si="43"/>
        <v>0</v>
      </c>
      <c r="F231" s="176">
        <f t="shared" si="43"/>
        <v>0</v>
      </c>
      <c r="G231" s="176">
        <f>SUM(G229:G230)</f>
        <v>3492.59</v>
      </c>
      <c r="H231" s="262">
        <v>1</v>
      </c>
      <c r="I231" s="188"/>
      <c r="J231" s="274"/>
      <c r="K231" s="274"/>
      <c r="L231" s="151"/>
    </row>
    <row r="232" spans="1:13" ht="18.95" customHeight="1" thickTop="1" x14ac:dyDescent="0.25">
      <c r="A232" s="140"/>
      <c r="B232" s="140" t="s">
        <v>623</v>
      </c>
      <c r="C232" s="141"/>
      <c r="D232" s="142"/>
      <c r="E232" s="142"/>
      <c r="F232" s="141"/>
      <c r="G232" s="189"/>
      <c r="M232" s="145"/>
    </row>
    <row r="233" spans="1:13" ht="18.95" customHeight="1" thickBot="1" x14ac:dyDescent="0.25">
      <c r="B233" s="145" t="s">
        <v>131</v>
      </c>
      <c r="C233" s="145" t="s">
        <v>636</v>
      </c>
      <c r="D233" s="141">
        <v>2500</v>
      </c>
      <c r="E233" s="141">
        <v>2957.52</v>
      </c>
      <c r="F233" s="142">
        <v>3500</v>
      </c>
      <c r="G233" s="141">
        <v>500</v>
      </c>
      <c r="H233" s="188">
        <f t="shared" si="39"/>
        <v>-0.8571428571428571</v>
      </c>
    </row>
    <row r="234" spans="1:13" s="140" customFormat="1" ht="18.95" customHeight="1" thickTop="1" thickBot="1" x14ac:dyDescent="0.3">
      <c r="C234" s="150" t="s">
        <v>592</v>
      </c>
      <c r="D234" s="176">
        <f t="shared" ref="D234:F234" si="44">SUM(D233)</f>
        <v>2500</v>
      </c>
      <c r="E234" s="176">
        <f t="shared" si="44"/>
        <v>2957.52</v>
      </c>
      <c r="F234" s="176">
        <f t="shared" si="44"/>
        <v>3500</v>
      </c>
      <c r="G234" s="176">
        <f>SUM(G233)</f>
        <v>500</v>
      </c>
      <c r="H234" s="262">
        <f t="shared" si="39"/>
        <v>-0.8571428571428571</v>
      </c>
      <c r="I234" s="188"/>
      <c r="J234" s="274"/>
      <c r="K234" s="274"/>
      <c r="L234" s="151"/>
      <c r="M234" s="151"/>
    </row>
    <row r="235" spans="1:13" ht="18.95" customHeight="1" thickTop="1" x14ac:dyDescent="0.25">
      <c r="A235" s="140"/>
      <c r="B235" s="140" t="s">
        <v>583</v>
      </c>
      <c r="C235" s="141"/>
      <c r="D235" s="142"/>
      <c r="E235" s="142"/>
      <c r="F235" s="141"/>
      <c r="G235" s="189"/>
      <c r="M235" s="145"/>
    </row>
    <row r="236" spans="1:13" ht="18.95" customHeight="1" thickBot="1" x14ac:dyDescent="0.25">
      <c r="B236" s="145" t="s">
        <v>139</v>
      </c>
      <c r="C236" s="145" t="s">
        <v>405</v>
      </c>
      <c r="D236" s="141">
        <v>15000</v>
      </c>
      <c r="E236" s="141">
        <v>11601.001</v>
      </c>
      <c r="F236" s="142">
        <v>15000</v>
      </c>
      <c r="G236" s="141">
        <v>13000</v>
      </c>
      <c r="H236" s="188">
        <f t="shared" si="39"/>
        <v>-0.13333333333333333</v>
      </c>
    </row>
    <row r="237" spans="1:13" s="140" customFormat="1" ht="18.95" customHeight="1" thickTop="1" thickBot="1" x14ac:dyDescent="0.3">
      <c r="C237" s="150" t="s">
        <v>592</v>
      </c>
      <c r="D237" s="176">
        <f t="shared" ref="D237:F237" si="45">SUM(D236)</f>
        <v>15000</v>
      </c>
      <c r="E237" s="176">
        <f t="shared" si="45"/>
        <v>11601.001</v>
      </c>
      <c r="F237" s="176">
        <f t="shared" si="45"/>
        <v>15000</v>
      </c>
      <c r="G237" s="176">
        <f>SUM(G236)</f>
        <v>13000</v>
      </c>
      <c r="H237" s="262">
        <f t="shared" si="39"/>
        <v>-0.13333333333333333</v>
      </c>
      <c r="I237" s="188"/>
      <c r="J237" s="274"/>
      <c r="K237" s="274"/>
      <c r="L237" s="151"/>
      <c r="M237" s="151"/>
    </row>
    <row r="238" spans="1:13" ht="18.95" customHeight="1" thickTop="1" x14ac:dyDescent="0.25">
      <c r="A238" s="140"/>
      <c r="B238" s="140" t="s">
        <v>595</v>
      </c>
      <c r="C238" s="141"/>
      <c r="D238" s="142"/>
      <c r="E238" s="142"/>
      <c r="F238" s="141"/>
      <c r="G238" s="189"/>
      <c r="M238" s="145"/>
    </row>
    <row r="239" spans="1:13" ht="18.95" customHeight="1" x14ac:dyDescent="0.2">
      <c r="B239" s="145" t="s">
        <v>489</v>
      </c>
      <c r="C239" s="145" t="s">
        <v>831</v>
      </c>
      <c r="D239" s="141">
        <v>3000</v>
      </c>
      <c r="E239" s="141">
        <v>2898.53</v>
      </c>
      <c r="F239" s="142">
        <v>3000</v>
      </c>
      <c r="G239" s="141">
        <v>500</v>
      </c>
      <c r="H239" s="188">
        <f t="shared" si="39"/>
        <v>-0.83333333333333337</v>
      </c>
    </row>
    <row r="240" spans="1:13" ht="18.95" customHeight="1" thickBot="1" x14ac:dyDescent="0.25">
      <c r="B240" s="145" t="s">
        <v>141</v>
      </c>
      <c r="C240" s="145" t="s">
        <v>281</v>
      </c>
      <c r="D240" s="168">
        <v>1200</v>
      </c>
      <c r="E240" s="168">
        <v>1109.58</v>
      </c>
      <c r="F240" s="251">
        <v>1500</v>
      </c>
      <c r="G240" s="168">
        <v>1500</v>
      </c>
      <c r="H240" s="188">
        <f t="shared" si="39"/>
        <v>0</v>
      </c>
    </row>
    <row r="241" spans="1:13" s="140" customFormat="1" ht="18.95" customHeight="1" thickTop="1" thickBot="1" x14ac:dyDescent="0.3">
      <c r="C241" s="265" t="s">
        <v>592</v>
      </c>
      <c r="D241" s="176">
        <f t="shared" ref="D241:F241" si="46">SUM(D239:D240)</f>
        <v>4200</v>
      </c>
      <c r="E241" s="176">
        <f t="shared" si="46"/>
        <v>4008.11</v>
      </c>
      <c r="F241" s="176">
        <f t="shared" si="46"/>
        <v>4500</v>
      </c>
      <c r="G241" s="176">
        <f>SUM(G239:G240)</f>
        <v>2000</v>
      </c>
      <c r="H241" s="262">
        <f t="shared" si="39"/>
        <v>-0.55555555555555558</v>
      </c>
      <c r="I241" s="188"/>
      <c r="J241" s="274"/>
      <c r="K241" s="274"/>
      <c r="L241" s="151"/>
      <c r="M241" s="151"/>
    </row>
    <row r="242" spans="1:13" ht="18.95" customHeight="1" thickTop="1" x14ac:dyDescent="0.25">
      <c r="A242" s="140"/>
      <c r="B242" s="140" t="s">
        <v>585</v>
      </c>
      <c r="C242" s="141"/>
      <c r="D242" s="142"/>
      <c r="E242" s="142"/>
      <c r="F242" s="141"/>
      <c r="G242" s="189"/>
      <c r="M242" s="145"/>
    </row>
    <row r="243" spans="1:13" ht="18.95" customHeight="1" thickBot="1" x14ac:dyDescent="0.25">
      <c r="B243" s="145" t="s">
        <v>736</v>
      </c>
      <c r="C243" s="145" t="s">
        <v>735</v>
      </c>
      <c r="D243" s="141">
        <v>12000</v>
      </c>
      <c r="E243" s="141">
        <v>12000</v>
      </c>
      <c r="F243" s="142">
        <v>0</v>
      </c>
      <c r="G243" s="141">
        <v>15000</v>
      </c>
      <c r="H243" s="188">
        <v>1</v>
      </c>
    </row>
    <row r="244" spans="1:13" s="140" customFormat="1" ht="18.95" customHeight="1" thickTop="1" thickBot="1" x14ac:dyDescent="0.3">
      <c r="B244" s="169"/>
      <c r="C244" s="169" t="s">
        <v>592</v>
      </c>
      <c r="D244" s="177">
        <f t="shared" ref="D244:F244" si="47">SUM(D243)</f>
        <v>12000</v>
      </c>
      <c r="E244" s="177">
        <f t="shared" si="47"/>
        <v>12000</v>
      </c>
      <c r="F244" s="177">
        <f t="shared" si="47"/>
        <v>0</v>
      </c>
      <c r="G244" s="177">
        <f>SUM(G243)</f>
        <v>15000</v>
      </c>
      <c r="H244" s="262">
        <v>1</v>
      </c>
      <c r="I244" s="188"/>
      <c r="J244" s="276"/>
      <c r="K244" s="276"/>
    </row>
    <row r="245" spans="1:13" s="140" customFormat="1" ht="18.95" customHeight="1" thickTop="1" thickBot="1" x14ac:dyDescent="0.3">
      <c r="B245" s="150"/>
      <c r="C245" s="150"/>
      <c r="D245" s="162"/>
      <c r="E245" s="162"/>
      <c r="F245" s="162"/>
      <c r="G245" s="190"/>
      <c r="H245" s="188"/>
      <c r="I245" s="188"/>
      <c r="J245" s="276"/>
      <c r="K245" s="276"/>
    </row>
    <row r="246" spans="1:13" s="140" customFormat="1" ht="18.95" customHeight="1" thickTop="1" thickBot="1" x14ac:dyDescent="0.3">
      <c r="B246" s="180" t="s">
        <v>607</v>
      </c>
      <c r="C246" s="180"/>
      <c r="D246" s="181">
        <f t="shared" ref="D246:F246" si="48">SUM(D244,D207,D212,D217,D220,D227,D231,D234,D237,D241)</f>
        <v>369638.75</v>
      </c>
      <c r="E246" s="181">
        <f t="shared" si="48"/>
        <v>354246.11100000003</v>
      </c>
      <c r="F246" s="181">
        <f t="shared" si="48"/>
        <v>373005.12080000003</v>
      </c>
      <c r="G246" s="181">
        <f>SUM(G244,G207,G212,G217,G220,G227,G231,G234,G237,G241)</f>
        <v>401444.79634400003</v>
      </c>
      <c r="H246" s="263">
        <f t="shared" si="39"/>
        <v>7.6244732198325352E-2</v>
      </c>
      <c r="I246" s="188"/>
      <c r="J246" s="276"/>
      <c r="K246" s="276"/>
    </row>
    <row r="247" spans="1:13" ht="18.95" customHeight="1" thickTop="1" x14ac:dyDescent="0.2">
      <c r="B247" s="40"/>
      <c r="C247" s="40"/>
      <c r="D247" s="148"/>
      <c r="E247" s="148"/>
      <c r="F247" s="157"/>
      <c r="J247" s="277"/>
      <c r="K247" s="277"/>
      <c r="M247" s="145"/>
    </row>
    <row r="248" spans="1:13" ht="18.95" customHeight="1" x14ac:dyDescent="0.25">
      <c r="A248" s="140" t="s">
        <v>766</v>
      </c>
      <c r="B248" s="141"/>
      <c r="C248" s="141"/>
      <c r="D248" s="238"/>
      <c r="E248" s="238"/>
      <c r="F248" s="143"/>
      <c r="G248" s="189"/>
      <c r="J248" s="145"/>
      <c r="K248" s="145"/>
      <c r="L248" s="145"/>
      <c r="M248" s="145"/>
    </row>
    <row r="249" spans="1:13" ht="18.95" customHeight="1" x14ac:dyDescent="0.25">
      <c r="A249" s="140"/>
      <c r="B249" s="140" t="s">
        <v>591</v>
      </c>
      <c r="C249" s="141"/>
      <c r="D249" s="142"/>
      <c r="E249" s="142"/>
      <c r="F249" s="141"/>
      <c r="G249" s="189"/>
      <c r="M249" s="145"/>
    </row>
    <row r="250" spans="1:13" ht="18.95" customHeight="1" x14ac:dyDescent="0.2">
      <c r="B250" s="145" t="s">
        <v>142</v>
      </c>
      <c r="C250" s="145" t="s">
        <v>272</v>
      </c>
      <c r="D250" s="141">
        <v>57000</v>
      </c>
      <c r="E250" s="141">
        <v>68756</v>
      </c>
      <c r="F250" s="142">
        <v>70000</v>
      </c>
      <c r="G250" s="141">
        <v>85000</v>
      </c>
      <c r="H250" s="188">
        <f t="shared" si="39"/>
        <v>0.21428571428571427</v>
      </c>
      <c r="J250" s="277"/>
      <c r="K250" s="277"/>
      <c r="M250" s="145"/>
    </row>
    <row r="251" spans="1:13" ht="18.95" customHeight="1" x14ac:dyDescent="0.2">
      <c r="B251" s="145" t="s">
        <v>142</v>
      </c>
      <c r="C251" s="145" t="s">
        <v>638</v>
      </c>
      <c r="D251" s="141">
        <v>0</v>
      </c>
      <c r="E251" s="141">
        <v>0</v>
      </c>
      <c r="F251" s="142">
        <v>0</v>
      </c>
      <c r="G251" s="141">
        <v>1000</v>
      </c>
      <c r="H251" s="188">
        <v>1</v>
      </c>
      <c r="J251" s="277"/>
      <c r="K251" s="277"/>
      <c r="M251" s="145"/>
    </row>
    <row r="252" spans="1:13" ht="18.95" customHeight="1" x14ac:dyDescent="0.2">
      <c r="B252" s="145" t="s">
        <v>143</v>
      </c>
      <c r="C252" s="145" t="s">
        <v>275</v>
      </c>
      <c r="D252" s="146">
        <v>4389</v>
      </c>
      <c r="E252" s="146">
        <v>5260</v>
      </c>
      <c r="F252" s="147">
        <f>F250*7.7%</f>
        <v>5390</v>
      </c>
      <c r="G252" s="147">
        <f>G250*7.7%</f>
        <v>6545</v>
      </c>
      <c r="H252" s="188">
        <f t="shared" si="39"/>
        <v>0.21428571428571427</v>
      </c>
      <c r="J252" s="277"/>
      <c r="K252" s="277"/>
      <c r="M252" s="145"/>
    </row>
    <row r="253" spans="1:13" ht="18.95" customHeight="1" thickBot="1" x14ac:dyDescent="0.25">
      <c r="B253" s="145" t="s">
        <v>553</v>
      </c>
      <c r="C253" s="145" t="s">
        <v>550</v>
      </c>
      <c r="D253" s="149">
        <v>0</v>
      </c>
      <c r="E253" s="149">
        <v>310.66000000000003</v>
      </c>
      <c r="F253" s="240">
        <f>SUM(F250:F252)*0.44%</f>
        <v>331.71600000000001</v>
      </c>
      <c r="G253" s="240">
        <f>SUM(G250:G252)*0.44%</f>
        <v>407.19800000000004</v>
      </c>
      <c r="H253" s="188">
        <f t="shared" si="39"/>
        <v>0.22755007295397275</v>
      </c>
      <c r="J253" s="277"/>
      <c r="K253" s="277"/>
      <c r="M253" s="145"/>
    </row>
    <row r="254" spans="1:13" s="140" customFormat="1" ht="18.95" customHeight="1" thickTop="1" thickBot="1" x14ac:dyDescent="0.3">
      <c r="C254" s="150" t="s">
        <v>592</v>
      </c>
      <c r="D254" s="176">
        <f t="shared" ref="D254:F254" si="49">SUM(D250:D253)</f>
        <v>61389</v>
      </c>
      <c r="E254" s="176">
        <f t="shared" si="49"/>
        <v>74326.66</v>
      </c>
      <c r="F254" s="176">
        <f t="shared" si="49"/>
        <v>75721.716</v>
      </c>
      <c r="G254" s="176">
        <f>SUM(G250:G253)</f>
        <v>92952.198000000004</v>
      </c>
      <c r="H254" s="262">
        <f t="shared" si="39"/>
        <v>0.22755007295397273</v>
      </c>
      <c r="I254" s="188"/>
      <c r="J254" s="276"/>
      <c r="K254" s="276"/>
      <c r="L254" s="151"/>
    </row>
    <row r="255" spans="1:13" ht="18.95" customHeight="1" thickTop="1" x14ac:dyDescent="0.25">
      <c r="A255" s="140"/>
      <c r="B255" s="140" t="s">
        <v>578</v>
      </c>
      <c r="C255" s="141"/>
      <c r="D255" s="142"/>
      <c r="E255" s="142"/>
      <c r="F255" s="141"/>
      <c r="G255" s="189"/>
      <c r="M255" s="145"/>
    </row>
    <row r="256" spans="1:13" ht="18.95" customHeight="1" x14ac:dyDescent="0.2">
      <c r="B256" s="145" t="s">
        <v>144</v>
      </c>
      <c r="C256" s="145" t="s">
        <v>282</v>
      </c>
      <c r="D256" s="141">
        <v>1000</v>
      </c>
      <c r="E256" s="141">
        <v>227</v>
      </c>
      <c r="F256" s="142">
        <v>1000</v>
      </c>
      <c r="G256" s="141">
        <v>4000</v>
      </c>
      <c r="H256" s="188">
        <f t="shared" si="39"/>
        <v>3</v>
      </c>
      <c r="J256" s="277"/>
      <c r="K256" s="277"/>
      <c r="M256" s="145"/>
    </row>
    <row r="257" spans="1:13" ht="18.95" customHeight="1" x14ac:dyDescent="0.2">
      <c r="B257" s="145" t="s">
        <v>752</v>
      </c>
      <c r="C257" s="145" t="s">
        <v>856</v>
      </c>
      <c r="D257" s="141">
        <v>0</v>
      </c>
      <c r="E257" s="141">
        <v>0</v>
      </c>
      <c r="F257" s="142">
        <v>0</v>
      </c>
      <c r="G257" s="141">
        <v>1000</v>
      </c>
      <c r="H257" s="188">
        <v>1</v>
      </c>
      <c r="J257" s="277"/>
      <c r="K257" s="277"/>
      <c r="M257" s="145"/>
    </row>
    <row r="258" spans="1:13" ht="18.95" customHeight="1" x14ac:dyDescent="0.2">
      <c r="B258" s="145" t="s">
        <v>145</v>
      </c>
      <c r="C258" s="145" t="s">
        <v>830</v>
      </c>
      <c r="D258" s="146">
        <v>1000</v>
      </c>
      <c r="E258" s="146">
        <v>400</v>
      </c>
      <c r="F258" s="147">
        <v>1000</v>
      </c>
      <c r="G258" s="146">
        <v>1000</v>
      </c>
      <c r="H258" s="188">
        <f t="shared" ref="H258:H316" si="50">(G258-F258)/F258</f>
        <v>0</v>
      </c>
    </row>
    <row r="259" spans="1:13" ht="18.95" customHeight="1" x14ac:dyDescent="0.2">
      <c r="B259" s="145" t="s">
        <v>146</v>
      </c>
      <c r="C259" s="145" t="s">
        <v>277</v>
      </c>
      <c r="D259" s="146">
        <v>1000</v>
      </c>
      <c r="E259" s="146">
        <v>326.88</v>
      </c>
      <c r="F259" s="147">
        <v>1000</v>
      </c>
      <c r="G259" s="146">
        <v>1000</v>
      </c>
      <c r="H259" s="188">
        <f t="shared" si="50"/>
        <v>0</v>
      </c>
    </row>
    <row r="260" spans="1:13" ht="18.95" customHeight="1" thickBot="1" x14ac:dyDescent="0.25">
      <c r="B260" s="145" t="s">
        <v>576</v>
      </c>
      <c r="C260" s="145" t="s">
        <v>832</v>
      </c>
      <c r="D260" s="149">
        <v>0</v>
      </c>
      <c r="E260" s="149">
        <v>0</v>
      </c>
      <c r="F260" s="240">
        <v>2500</v>
      </c>
      <c r="G260" s="141">
        <v>2500</v>
      </c>
      <c r="H260" s="188">
        <f t="shared" si="50"/>
        <v>0</v>
      </c>
    </row>
    <row r="261" spans="1:13" s="140" customFormat="1" ht="18.95" customHeight="1" thickTop="1" thickBot="1" x14ac:dyDescent="0.3">
      <c r="C261" s="150" t="s">
        <v>592</v>
      </c>
      <c r="D261" s="176">
        <f t="shared" ref="D261:F261" si="51">SUM(D256:D260)</f>
        <v>3000</v>
      </c>
      <c r="E261" s="176">
        <f t="shared" si="51"/>
        <v>953.88</v>
      </c>
      <c r="F261" s="176">
        <f t="shared" si="51"/>
        <v>5500</v>
      </c>
      <c r="G261" s="176">
        <f>SUM(G256:G260)</f>
        <v>9500</v>
      </c>
      <c r="H261" s="262">
        <f t="shared" si="50"/>
        <v>0.72727272727272729</v>
      </c>
      <c r="I261" s="188"/>
      <c r="J261" s="274"/>
      <c r="K261" s="274"/>
      <c r="L261" s="151"/>
      <c r="M261" s="151"/>
    </row>
    <row r="262" spans="1:13" ht="18.95" customHeight="1" thickTop="1" x14ac:dyDescent="0.25">
      <c r="A262" s="140"/>
      <c r="B262" s="140" t="s">
        <v>579</v>
      </c>
      <c r="C262" s="141"/>
      <c r="D262" s="142"/>
      <c r="E262" s="142"/>
      <c r="F262" s="141"/>
      <c r="G262" s="189"/>
      <c r="M262" s="145"/>
    </row>
    <row r="263" spans="1:13" ht="18.95" customHeight="1" x14ac:dyDescent="0.2">
      <c r="B263" s="145" t="s">
        <v>153</v>
      </c>
      <c r="C263" s="145" t="s">
        <v>270</v>
      </c>
      <c r="D263" s="141">
        <v>9766</v>
      </c>
      <c r="E263" s="141">
        <v>12381.5</v>
      </c>
      <c r="F263" s="142">
        <v>13425</v>
      </c>
      <c r="G263" s="141">
        <v>14096</v>
      </c>
      <c r="H263" s="188">
        <f t="shared" si="50"/>
        <v>4.9981378026070764E-2</v>
      </c>
    </row>
    <row r="264" spans="1:13" ht="18.95" customHeight="1" x14ac:dyDescent="0.2">
      <c r="B264" s="145" t="s">
        <v>753</v>
      </c>
      <c r="C264" s="145" t="s">
        <v>754</v>
      </c>
      <c r="D264" s="141">
        <v>0</v>
      </c>
      <c r="E264" s="141">
        <v>0</v>
      </c>
      <c r="F264" s="142">
        <v>0</v>
      </c>
      <c r="G264" s="141">
        <v>500</v>
      </c>
    </row>
    <row r="265" spans="1:13" ht="18.95" customHeight="1" thickBot="1" x14ac:dyDescent="0.25">
      <c r="B265" s="145" t="s">
        <v>575</v>
      </c>
      <c r="C265" s="145" t="s">
        <v>844</v>
      </c>
      <c r="D265" s="166">
        <v>0</v>
      </c>
      <c r="E265" s="166">
        <v>0</v>
      </c>
      <c r="F265" s="250">
        <v>25000</v>
      </c>
      <c r="G265" s="166">
        <v>0</v>
      </c>
      <c r="H265" s="188">
        <f t="shared" si="50"/>
        <v>-1</v>
      </c>
    </row>
    <row r="266" spans="1:13" s="140" customFormat="1" ht="18.95" customHeight="1" thickTop="1" thickBot="1" x14ac:dyDescent="0.3">
      <c r="C266" s="150" t="s">
        <v>592</v>
      </c>
      <c r="D266" s="176">
        <f t="shared" ref="D266:F266" si="52">SUM(D263:D265)</f>
        <v>9766</v>
      </c>
      <c r="E266" s="176">
        <f t="shared" si="52"/>
        <v>12381.5</v>
      </c>
      <c r="F266" s="176">
        <f t="shared" si="52"/>
        <v>38425</v>
      </c>
      <c r="G266" s="176">
        <f>SUM(G263:G265)</f>
        <v>14596</v>
      </c>
      <c r="H266" s="262">
        <f t="shared" si="50"/>
        <v>-0.62014313597918025</v>
      </c>
      <c r="I266" s="188"/>
      <c r="J266" s="274"/>
      <c r="K266" s="274"/>
      <c r="L266" s="151"/>
      <c r="M266" s="151"/>
    </row>
    <row r="267" spans="1:13" ht="18.95" customHeight="1" thickTop="1" x14ac:dyDescent="0.25">
      <c r="A267" s="140"/>
      <c r="B267" s="140" t="s">
        <v>580</v>
      </c>
      <c r="C267" s="141"/>
      <c r="D267" s="142"/>
      <c r="E267" s="142"/>
      <c r="F267" s="141"/>
      <c r="G267" s="189"/>
      <c r="M267" s="145"/>
    </row>
    <row r="268" spans="1:13" ht="18.95" customHeight="1" x14ac:dyDescent="0.2">
      <c r="B268" s="145" t="s">
        <v>161</v>
      </c>
      <c r="C268" s="145" t="s">
        <v>287</v>
      </c>
      <c r="D268" s="141">
        <v>3500</v>
      </c>
      <c r="E268" s="141">
        <v>2960.23</v>
      </c>
      <c r="F268" s="142">
        <v>4500</v>
      </c>
      <c r="G268" s="141">
        <v>4500</v>
      </c>
      <c r="H268" s="188">
        <f t="shared" si="50"/>
        <v>0</v>
      </c>
    </row>
    <row r="269" spans="1:13" ht="18.95" customHeight="1" thickBot="1" x14ac:dyDescent="0.25">
      <c r="B269" s="145" t="s">
        <v>156</v>
      </c>
      <c r="C269" s="145" t="s">
        <v>833</v>
      </c>
      <c r="D269" s="166">
        <v>4000</v>
      </c>
      <c r="E269" s="166">
        <v>3887.51</v>
      </c>
      <c r="F269" s="250">
        <v>4000</v>
      </c>
      <c r="G269" s="166">
        <v>4000</v>
      </c>
      <c r="H269" s="188">
        <f t="shared" si="50"/>
        <v>0</v>
      </c>
    </row>
    <row r="270" spans="1:13" s="140" customFormat="1" ht="18.95" customHeight="1" thickTop="1" thickBot="1" x14ac:dyDescent="0.3">
      <c r="C270" s="150" t="s">
        <v>592</v>
      </c>
      <c r="D270" s="176">
        <f t="shared" ref="D270:F270" si="53">SUM(D268:D269)</f>
        <v>7500</v>
      </c>
      <c r="E270" s="176">
        <f t="shared" si="53"/>
        <v>6847.74</v>
      </c>
      <c r="F270" s="176">
        <f t="shared" si="53"/>
        <v>8500</v>
      </c>
      <c r="G270" s="176">
        <f>SUM(G268:G269)</f>
        <v>8500</v>
      </c>
      <c r="H270" s="262">
        <f t="shared" si="50"/>
        <v>0</v>
      </c>
      <c r="I270" s="188"/>
      <c r="J270" s="274"/>
      <c r="K270" s="274"/>
      <c r="L270" s="151"/>
      <c r="M270" s="151"/>
    </row>
    <row r="271" spans="1:13" ht="18.95" customHeight="1" thickTop="1" x14ac:dyDescent="0.25">
      <c r="A271" s="140"/>
      <c r="B271" s="140" t="s">
        <v>581</v>
      </c>
      <c r="C271" s="141"/>
      <c r="D271" s="142"/>
      <c r="E271" s="142"/>
      <c r="F271" s="141"/>
      <c r="G271" s="189"/>
      <c r="M271" s="145"/>
    </row>
    <row r="272" spans="1:13" ht="18.95" customHeight="1" x14ac:dyDescent="0.2">
      <c r="B272" s="145" t="s">
        <v>147</v>
      </c>
      <c r="C272" s="145" t="s">
        <v>261</v>
      </c>
      <c r="D272" s="141">
        <v>4000</v>
      </c>
      <c r="E272" s="141">
        <v>4458.21</v>
      </c>
      <c r="F272" s="142">
        <v>4500</v>
      </c>
      <c r="G272" s="141">
        <v>5500</v>
      </c>
      <c r="H272" s="188">
        <f t="shared" si="50"/>
        <v>0.22222222222222221</v>
      </c>
    </row>
    <row r="273" spans="1:13" ht="18.95" customHeight="1" x14ac:dyDescent="0.2">
      <c r="B273" s="145" t="s">
        <v>515</v>
      </c>
      <c r="C273" s="145" t="s">
        <v>496</v>
      </c>
      <c r="D273" s="146">
        <v>500</v>
      </c>
      <c r="E273" s="146">
        <v>476.73</v>
      </c>
      <c r="F273" s="147">
        <v>500</v>
      </c>
      <c r="G273" s="146">
        <v>500</v>
      </c>
      <c r="H273" s="188">
        <f t="shared" si="50"/>
        <v>0</v>
      </c>
    </row>
    <row r="274" spans="1:13" ht="18.95" customHeight="1" x14ac:dyDescent="0.2">
      <c r="B274" s="145" t="s">
        <v>149</v>
      </c>
      <c r="C274" s="145" t="s">
        <v>262</v>
      </c>
      <c r="D274" s="146">
        <v>4000</v>
      </c>
      <c r="E274" s="146">
        <v>2531.02</v>
      </c>
      <c r="F274" s="147">
        <v>3000</v>
      </c>
      <c r="G274" s="146">
        <v>3000</v>
      </c>
      <c r="H274" s="188">
        <f t="shared" si="50"/>
        <v>0</v>
      </c>
    </row>
    <row r="275" spans="1:13" ht="18.95" customHeight="1" x14ac:dyDescent="0.2">
      <c r="B275" s="145" t="s">
        <v>150</v>
      </c>
      <c r="C275" s="145" t="s">
        <v>279</v>
      </c>
      <c r="D275" s="146">
        <v>2500</v>
      </c>
      <c r="E275" s="146">
        <v>2601.12</v>
      </c>
      <c r="F275" s="147">
        <v>2800</v>
      </c>
      <c r="G275" s="146">
        <v>2800</v>
      </c>
      <c r="H275" s="188">
        <f t="shared" si="50"/>
        <v>0</v>
      </c>
    </row>
    <row r="276" spans="1:13" ht="18.95" customHeight="1" thickBot="1" x14ac:dyDescent="0.25">
      <c r="B276" s="145" t="s">
        <v>151</v>
      </c>
      <c r="C276" s="145" t="s">
        <v>265</v>
      </c>
      <c r="D276" s="141">
        <v>2000</v>
      </c>
      <c r="E276" s="141">
        <v>1809.86</v>
      </c>
      <c r="F276" s="142">
        <v>2000</v>
      </c>
      <c r="G276" s="141">
        <v>2000</v>
      </c>
      <c r="H276" s="188">
        <f t="shared" si="50"/>
        <v>0</v>
      </c>
    </row>
    <row r="277" spans="1:13" s="140" customFormat="1" ht="18.95" customHeight="1" thickTop="1" thickBot="1" x14ac:dyDescent="0.3">
      <c r="C277" s="150" t="s">
        <v>592</v>
      </c>
      <c r="D277" s="176">
        <f t="shared" ref="D277:F277" si="54">SUM(D272:D276)</f>
        <v>13000</v>
      </c>
      <c r="E277" s="176">
        <f t="shared" si="54"/>
        <v>11876.940000000002</v>
      </c>
      <c r="F277" s="176">
        <f t="shared" si="54"/>
        <v>12800</v>
      </c>
      <c r="G277" s="176">
        <f>SUM(G272:G276)</f>
        <v>13800</v>
      </c>
      <c r="H277" s="262">
        <f t="shared" si="50"/>
        <v>7.8125E-2</v>
      </c>
      <c r="I277" s="188"/>
      <c r="J277" s="274"/>
      <c r="K277" s="274"/>
      <c r="L277" s="151"/>
      <c r="M277" s="151"/>
    </row>
    <row r="278" spans="1:13" ht="18.95" customHeight="1" thickTop="1" x14ac:dyDescent="0.25">
      <c r="A278" s="140"/>
      <c r="B278" s="140" t="s">
        <v>582</v>
      </c>
      <c r="C278" s="141"/>
      <c r="D278" s="142"/>
      <c r="E278" s="142"/>
      <c r="F278" s="141"/>
      <c r="G278" s="189"/>
      <c r="M278" s="145"/>
    </row>
    <row r="279" spans="1:13" ht="18.95" customHeight="1" thickBot="1" x14ac:dyDescent="0.25">
      <c r="B279" s="145" t="s">
        <v>155</v>
      </c>
      <c r="C279" s="145" t="s">
        <v>284</v>
      </c>
      <c r="D279" s="149">
        <v>5600</v>
      </c>
      <c r="E279" s="149">
        <v>5196</v>
      </c>
      <c r="F279" s="240">
        <v>5600</v>
      </c>
      <c r="G279" s="141">
        <v>9000</v>
      </c>
      <c r="H279" s="188">
        <f t="shared" si="50"/>
        <v>0.6071428571428571</v>
      </c>
    </row>
    <row r="280" spans="1:13" s="140" customFormat="1" ht="18.95" customHeight="1" thickTop="1" thickBot="1" x14ac:dyDescent="0.3">
      <c r="C280" s="150" t="s">
        <v>592</v>
      </c>
      <c r="D280" s="176">
        <f t="shared" ref="D280:F280" si="55">SUM(D279)</f>
        <v>5600</v>
      </c>
      <c r="E280" s="176">
        <f t="shared" si="55"/>
        <v>5196</v>
      </c>
      <c r="F280" s="176">
        <f t="shared" si="55"/>
        <v>5600</v>
      </c>
      <c r="G280" s="176">
        <f>SUM(G279)</f>
        <v>9000</v>
      </c>
      <c r="H280" s="262">
        <f t="shared" si="50"/>
        <v>0.6071428571428571</v>
      </c>
      <c r="I280" s="188"/>
      <c r="J280" s="274"/>
      <c r="K280" s="274"/>
      <c r="L280" s="151"/>
      <c r="M280" s="151"/>
    </row>
    <row r="281" spans="1:13" ht="18.95" customHeight="1" thickTop="1" x14ac:dyDescent="0.25">
      <c r="A281" s="140"/>
      <c r="B281" s="140" t="s">
        <v>623</v>
      </c>
      <c r="C281" s="141"/>
      <c r="D281" s="142"/>
      <c r="E281" s="142"/>
      <c r="F281" s="141"/>
      <c r="G281" s="189"/>
      <c r="M281" s="145"/>
    </row>
    <row r="282" spans="1:13" ht="18.95" customHeight="1" x14ac:dyDescent="0.2">
      <c r="B282" s="145" t="s">
        <v>162</v>
      </c>
      <c r="C282" s="145" t="s">
        <v>288</v>
      </c>
      <c r="D282" s="153">
        <v>35000</v>
      </c>
      <c r="E282" s="153">
        <v>27034.97</v>
      </c>
      <c r="F282" s="242">
        <v>15000</v>
      </c>
      <c r="G282" s="153">
        <v>15000</v>
      </c>
      <c r="H282" s="188">
        <f>(G282-F282)/F282</f>
        <v>0</v>
      </c>
    </row>
    <row r="283" spans="1:13" ht="18.95" customHeight="1" x14ac:dyDescent="0.2">
      <c r="B283" s="145" t="s">
        <v>154</v>
      </c>
      <c r="C283" s="145" t="s">
        <v>834</v>
      </c>
      <c r="D283" s="153">
        <v>10000</v>
      </c>
      <c r="E283" s="153">
        <v>5224.6000000000004</v>
      </c>
      <c r="F283" s="242">
        <v>10000</v>
      </c>
      <c r="G283" s="153">
        <v>10000</v>
      </c>
      <c r="H283" s="188">
        <f t="shared" si="50"/>
        <v>0</v>
      </c>
    </row>
    <row r="284" spans="1:13" ht="18.95" customHeight="1" x14ac:dyDescent="0.2">
      <c r="B284" s="145" t="s">
        <v>157</v>
      </c>
      <c r="C284" s="145" t="s">
        <v>285</v>
      </c>
      <c r="D284" s="146">
        <v>1500</v>
      </c>
      <c r="E284" s="146">
        <v>1375</v>
      </c>
      <c r="F284" s="147">
        <v>1500</v>
      </c>
      <c r="G284" s="146">
        <v>2000</v>
      </c>
      <c r="H284" s="188">
        <f t="shared" si="50"/>
        <v>0.33333333333333331</v>
      </c>
    </row>
    <row r="285" spans="1:13" ht="18.95" customHeight="1" x14ac:dyDescent="0.2">
      <c r="B285" s="145" t="s">
        <v>159</v>
      </c>
      <c r="C285" s="145" t="s">
        <v>286</v>
      </c>
      <c r="D285" s="146">
        <v>5500</v>
      </c>
      <c r="E285" s="146">
        <v>3899.84</v>
      </c>
      <c r="F285" s="147">
        <v>4500</v>
      </c>
      <c r="G285" s="146">
        <v>4500</v>
      </c>
      <c r="H285" s="188">
        <f t="shared" si="50"/>
        <v>0</v>
      </c>
    </row>
    <row r="286" spans="1:13" ht="18.95" customHeight="1" x14ac:dyDescent="0.2">
      <c r="B286" s="145" t="s">
        <v>160</v>
      </c>
      <c r="C286" s="145" t="s">
        <v>821</v>
      </c>
      <c r="D286" s="146">
        <v>3000</v>
      </c>
      <c r="E286" s="146">
        <v>1502.79</v>
      </c>
      <c r="F286" s="147">
        <v>3000</v>
      </c>
      <c r="G286" s="146">
        <v>3000</v>
      </c>
      <c r="H286" s="188">
        <f t="shared" si="50"/>
        <v>0</v>
      </c>
    </row>
    <row r="287" spans="1:13" ht="18.95" customHeight="1" thickBot="1" x14ac:dyDescent="0.25">
      <c r="B287" s="145" t="s">
        <v>158</v>
      </c>
      <c r="C287" s="145" t="s">
        <v>317</v>
      </c>
      <c r="D287" s="141">
        <v>10000</v>
      </c>
      <c r="E287" s="141">
        <v>22752.98</v>
      </c>
      <c r="F287" s="142">
        <v>15000</v>
      </c>
      <c r="G287" s="141">
        <v>15000</v>
      </c>
      <c r="H287" s="188">
        <f t="shared" si="50"/>
        <v>0</v>
      </c>
    </row>
    <row r="288" spans="1:13" s="140" customFormat="1" ht="18.95" customHeight="1" thickTop="1" thickBot="1" x14ac:dyDescent="0.3">
      <c r="C288" s="150" t="s">
        <v>592</v>
      </c>
      <c r="D288" s="176">
        <f t="shared" ref="D288:F288" si="56">SUM(D282:D287)</f>
        <v>65000</v>
      </c>
      <c r="E288" s="176">
        <f t="shared" si="56"/>
        <v>61790.180000000008</v>
      </c>
      <c r="F288" s="176">
        <f t="shared" si="56"/>
        <v>49000</v>
      </c>
      <c r="G288" s="176">
        <f>SUM(G282:G287)</f>
        <v>49500</v>
      </c>
      <c r="H288" s="262">
        <f t="shared" si="50"/>
        <v>1.020408163265306E-2</v>
      </c>
      <c r="I288" s="188"/>
      <c r="J288" s="274"/>
      <c r="K288" s="274"/>
      <c r="L288" s="151"/>
      <c r="M288" s="151"/>
    </row>
    <row r="289" spans="1:13" ht="18.95" customHeight="1" thickTop="1" x14ac:dyDescent="0.25">
      <c r="A289" s="140"/>
      <c r="B289" s="140" t="s">
        <v>583</v>
      </c>
      <c r="C289" s="141"/>
      <c r="D289" s="142"/>
      <c r="E289" s="142"/>
      <c r="F289" s="141"/>
      <c r="G289" s="189"/>
      <c r="M289" s="145"/>
    </row>
    <row r="290" spans="1:13" ht="18.95" customHeight="1" thickBot="1" x14ac:dyDescent="0.25">
      <c r="B290" s="145" t="s">
        <v>152</v>
      </c>
      <c r="C290" s="145" t="s">
        <v>439</v>
      </c>
      <c r="D290" s="149">
        <v>10000</v>
      </c>
      <c r="E290" s="149">
        <v>6453.38</v>
      </c>
      <c r="F290" s="240">
        <v>10000</v>
      </c>
      <c r="G290" s="141">
        <v>10000</v>
      </c>
      <c r="H290" s="188">
        <f t="shared" si="50"/>
        <v>0</v>
      </c>
    </row>
    <row r="291" spans="1:13" s="140" customFormat="1" ht="18.95" customHeight="1" thickTop="1" thickBot="1" x14ac:dyDescent="0.3">
      <c r="C291" s="150" t="s">
        <v>592</v>
      </c>
      <c r="D291" s="176">
        <f t="shared" ref="D291:F291" si="57">SUM(D290)</f>
        <v>10000</v>
      </c>
      <c r="E291" s="176">
        <f t="shared" si="57"/>
        <v>6453.38</v>
      </c>
      <c r="F291" s="176">
        <f t="shared" si="57"/>
        <v>10000</v>
      </c>
      <c r="G291" s="176">
        <f>SUM(G290)</f>
        <v>10000</v>
      </c>
      <c r="H291" s="262">
        <f t="shared" si="50"/>
        <v>0</v>
      </c>
      <c r="I291" s="188"/>
      <c r="J291" s="274"/>
      <c r="K291" s="274"/>
      <c r="L291" s="151"/>
      <c r="M291" s="151"/>
    </row>
    <row r="292" spans="1:13" ht="18.95" customHeight="1" thickTop="1" x14ac:dyDescent="0.25">
      <c r="A292" s="140"/>
      <c r="B292" s="140" t="s">
        <v>595</v>
      </c>
      <c r="C292" s="141"/>
      <c r="D292" s="142"/>
      <c r="E292" s="142"/>
      <c r="F292" s="141"/>
      <c r="G292" s="189"/>
      <c r="M292" s="145"/>
    </row>
    <row r="293" spans="1:13" ht="18.95" customHeight="1" thickBot="1" x14ac:dyDescent="0.25">
      <c r="B293" s="145" t="s">
        <v>148</v>
      </c>
      <c r="C293" s="145" t="s">
        <v>283</v>
      </c>
      <c r="D293" s="149">
        <v>700</v>
      </c>
      <c r="E293" s="149">
        <v>879.98</v>
      </c>
      <c r="F293" s="240">
        <v>1000</v>
      </c>
      <c r="G293" s="141">
        <v>2000</v>
      </c>
      <c r="H293" s="188">
        <f t="shared" si="50"/>
        <v>1</v>
      </c>
    </row>
    <row r="294" spans="1:13" s="140" customFormat="1" ht="18.95" customHeight="1" thickTop="1" thickBot="1" x14ac:dyDescent="0.3">
      <c r="C294" s="150" t="s">
        <v>592</v>
      </c>
      <c r="D294" s="176">
        <f t="shared" ref="D294:F294" si="58">SUM(D293)</f>
        <v>700</v>
      </c>
      <c r="E294" s="176">
        <f t="shared" si="58"/>
        <v>879.98</v>
      </c>
      <c r="F294" s="176">
        <f t="shared" si="58"/>
        <v>1000</v>
      </c>
      <c r="G294" s="176">
        <f>SUM(G293)</f>
        <v>2000</v>
      </c>
      <c r="H294" s="262">
        <f t="shared" si="50"/>
        <v>1</v>
      </c>
      <c r="I294" s="188"/>
      <c r="J294" s="274"/>
      <c r="K294" s="274"/>
      <c r="L294" s="151"/>
      <c r="M294" s="151"/>
    </row>
    <row r="295" spans="1:13" ht="18.95" customHeight="1" thickTop="1" x14ac:dyDescent="0.25">
      <c r="A295" s="140"/>
      <c r="B295" s="140" t="s">
        <v>584</v>
      </c>
      <c r="C295" s="141"/>
      <c r="D295" s="142"/>
      <c r="E295" s="142"/>
      <c r="F295" s="141"/>
      <c r="G295" s="189"/>
      <c r="M295" s="145"/>
    </row>
    <row r="296" spans="1:13" ht="18.95" customHeight="1" x14ac:dyDescent="0.2">
      <c r="B296" s="145" t="s">
        <v>163</v>
      </c>
      <c r="C296" s="145" t="s">
        <v>472</v>
      </c>
      <c r="D296" s="146">
        <v>48572</v>
      </c>
      <c r="E296" s="146">
        <v>48572</v>
      </c>
      <c r="F296" s="147">
        <v>48572</v>
      </c>
      <c r="G296" s="146">
        <v>0</v>
      </c>
      <c r="H296" s="188">
        <f t="shared" si="50"/>
        <v>-1</v>
      </c>
    </row>
    <row r="297" spans="1:13" ht="18.95" customHeight="1" x14ac:dyDescent="0.2">
      <c r="B297" s="145" t="s">
        <v>164</v>
      </c>
      <c r="C297" s="145" t="s">
        <v>473</v>
      </c>
      <c r="D297" s="146">
        <v>2065</v>
      </c>
      <c r="E297" s="146">
        <v>2042.05</v>
      </c>
      <c r="F297" s="147">
        <v>1035</v>
      </c>
      <c r="G297" s="146">
        <v>0</v>
      </c>
      <c r="H297" s="188">
        <f t="shared" si="50"/>
        <v>-1</v>
      </c>
    </row>
    <row r="298" spans="1:13" ht="18.95" customHeight="1" x14ac:dyDescent="0.2">
      <c r="B298" s="145" t="s">
        <v>165</v>
      </c>
      <c r="C298" s="145" t="s">
        <v>289</v>
      </c>
      <c r="D298" s="146">
        <v>10000</v>
      </c>
      <c r="E298" s="146">
        <v>10000</v>
      </c>
      <c r="F298" s="147">
        <v>10000</v>
      </c>
      <c r="G298" s="146">
        <v>0</v>
      </c>
      <c r="H298" s="188">
        <f t="shared" si="50"/>
        <v>-1</v>
      </c>
    </row>
    <row r="299" spans="1:13" ht="18.95" customHeight="1" thickBot="1" x14ac:dyDescent="0.25">
      <c r="B299" s="145" t="s">
        <v>166</v>
      </c>
      <c r="C299" s="145" t="s">
        <v>290</v>
      </c>
      <c r="D299" s="141">
        <v>126</v>
      </c>
      <c r="E299" s="141">
        <v>126</v>
      </c>
      <c r="F299" s="142">
        <v>0</v>
      </c>
      <c r="G299" s="141">
        <v>0</v>
      </c>
      <c r="H299" s="188">
        <v>0</v>
      </c>
    </row>
    <row r="300" spans="1:13" s="140" customFormat="1" ht="18.95" customHeight="1" thickTop="1" thickBot="1" x14ac:dyDescent="0.3">
      <c r="C300" s="150" t="s">
        <v>592</v>
      </c>
      <c r="D300" s="176">
        <f t="shared" ref="D300:F300" si="59">SUM(D296:D299)</f>
        <v>60763</v>
      </c>
      <c r="E300" s="176">
        <f t="shared" si="59"/>
        <v>60740.05</v>
      </c>
      <c r="F300" s="176">
        <f t="shared" si="59"/>
        <v>59607</v>
      </c>
      <c r="G300" s="176">
        <f>SUM(G296:G299)</f>
        <v>0</v>
      </c>
      <c r="H300" s="262">
        <f t="shared" si="50"/>
        <v>-1</v>
      </c>
      <c r="I300" s="188"/>
      <c r="J300" s="274"/>
      <c r="K300" s="274"/>
      <c r="L300" s="151"/>
      <c r="M300" s="151"/>
    </row>
    <row r="301" spans="1:13" ht="18.95" customHeight="1" thickTop="1" x14ac:dyDescent="0.25">
      <c r="A301" s="140"/>
      <c r="B301" s="140" t="s">
        <v>585</v>
      </c>
      <c r="C301" s="141"/>
      <c r="D301" s="142"/>
      <c r="E301" s="142"/>
      <c r="F301" s="141"/>
      <c r="G301" s="189"/>
      <c r="M301" s="145"/>
    </row>
    <row r="302" spans="1:13" ht="18.95" customHeight="1" x14ac:dyDescent="0.2">
      <c r="B302" s="145" t="s">
        <v>167</v>
      </c>
      <c r="C302" s="145" t="s">
        <v>835</v>
      </c>
      <c r="D302" s="141">
        <v>5000</v>
      </c>
      <c r="E302" s="141">
        <v>5000</v>
      </c>
      <c r="F302" s="142">
        <v>0</v>
      </c>
      <c r="G302" s="141">
        <v>20000</v>
      </c>
      <c r="H302" s="188">
        <v>1</v>
      </c>
      <c r="K302" s="144"/>
      <c r="M302" s="145"/>
    </row>
    <row r="303" spans="1:13" ht="18.95" customHeight="1" thickBot="1" x14ac:dyDescent="0.25">
      <c r="B303" s="145" t="s">
        <v>168</v>
      </c>
      <c r="C303" s="145" t="s">
        <v>745</v>
      </c>
      <c r="D303" s="168">
        <v>220000</v>
      </c>
      <c r="E303" s="168">
        <v>220000</v>
      </c>
      <c r="F303" s="251">
        <v>180000</v>
      </c>
      <c r="G303" s="168">
        <v>220000</v>
      </c>
      <c r="H303" s="188">
        <f t="shared" si="50"/>
        <v>0.22222222222222221</v>
      </c>
      <c r="K303" s="144"/>
      <c r="M303" s="145"/>
    </row>
    <row r="304" spans="1:13" s="140" customFormat="1" ht="18.95" customHeight="1" thickTop="1" thickBot="1" x14ac:dyDescent="0.3">
      <c r="B304" s="169"/>
      <c r="C304" s="169" t="s">
        <v>592</v>
      </c>
      <c r="D304" s="177">
        <f t="shared" ref="D304:F304" si="60">SUM(D302:D303)</f>
        <v>225000</v>
      </c>
      <c r="E304" s="177">
        <f t="shared" si="60"/>
        <v>225000</v>
      </c>
      <c r="F304" s="177">
        <f t="shared" si="60"/>
        <v>180000</v>
      </c>
      <c r="G304" s="177">
        <f>SUM(G302:G303)</f>
        <v>240000</v>
      </c>
      <c r="H304" s="262">
        <f t="shared" si="50"/>
        <v>0.33333333333333331</v>
      </c>
      <c r="I304" s="188"/>
      <c r="J304" s="274"/>
      <c r="K304" s="274"/>
      <c r="L304" s="151"/>
      <c r="M304" s="151"/>
    </row>
    <row r="305" spans="1:13" ht="18.95" customHeight="1" thickTop="1" thickBot="1" x14ac:dyDescent="0.25">
      <c r="B305" s="40"/>
      <c r="C305" s="40"/>
      <c r="D305" s="148"/>
      <c r="E305" s="148"/>
      <c r="F305" s="148"/>
    </row>
    <row r="306" spans="1:13" s="140" customFormat="1" ht="18.95" customHeight="1" thickTop="1" thickBot="1" x14ac:dyDescent="0.3">
      <c r="B306" s="180" t="s">
        <v>767</v>
      </c>
      <c r="C306" s="256"/>
      <c r="D306" s="181">
        <f t="shared" ref="D306:F306" si="61">SUM(D254,D261,D266,D270,D277,D280,D288,D291,D294,D300,D304)</f>
        <v>461718</v>
      </c>
      <c r="E306" s="181">
        <f t="shared" si="61"/>
        <v>466446.31000000006</v>
      </c>
      <c r="F306" s="181">
        <f t="shared" si="61"/>
        <v>446153.71600000001</v>
      </c>
      <c r="G306" s="181">
        <f>SUM(G254,G261,G266,G270,G277,G280,G288,G291,G294,G300,G304)</f>
        <v>449848.19799999997</v>
      </c>
      <c r="H306" s="263">
        <f t="shared" si="50"/>
        <v>8.2807379329324238E-3</v>
      </c>
      <c r="I306" s="188"/>
      <c r="J306" s="274"/>
      <c r="K306" s="274"/>
      <c r="L306" s="151"/>
      <c r="M306" s="151"/>
    </row>
    <row r="307" spans="1:13" ht="18.95" customHeight="1" thickTop="1" x14ac:dyDescent="0.2">
      <c r="B307" s="40"/>
      <c r="C307" s="40"/>
      <c r="D307" s="148"/>
      <c r="E307" s="148"/>
      <c r="F307" s="157"/>
    </row>
    <row r="308" spans="1:13" ht="18.95" customHeight="1" x14ac:dyDescent="0.25">
      <c r="A308" s="140" t="s">
        <v>743</v>
      </c>
      <c r="B308" s="141"/>
      <c r="C308" s="141"/>
      <c r="D308" s="238"/>
      <c r="E308" s="238"/>
      <c r="F308" s="143"/>
      <c r="G308" s="189"/>
      <c r="J308" s="144"/>
      <c r="K308" s="144"/>
      <c r="L308" s="145"/>
      <c r="M308" s="145"/>
    </row>
    <row r="309" spans="1:13" ht="18.95" customHeight="1" x14ac:dyDescent="0.25">
      <c r="A309" s="140"/>
      <c r="B309" s="140" t="s">
        <v>591</v>
      </c>
      <c r="C309" s="141"/>
      <c r="D309" s="142"/>
      <c r="E309" s="142"/>
      <c r="F309" s="141"/>
      <c r="G309" s="189"/>
      <c r="M309" s="145"/>
    </row>
    <row r="310" spans="1:13" ht="18.95" customHeight="1" x14ac:dyDescent="0.2">
      <c r="B310" s="145" t="s">
        <v>169</v>
      </c>
      <c r="C310" s="145" t="s">
        <v>809</v>
      </c>
      <c r="D310" s="146">
        <v>2340</v>
      </c>
      <c r="E310" s="146">
        <v>2879</v>
      </c>
      <c r="F310" s="147">
        <v>2600</v>
      </c>
      <c r="G310" s="146">
        <v>3851</v>
      </c>
      <c r="H310" s="188">
        <f t="shared" si="50"/>
        <v>0.48115384615384615</v>
      </c>
    </row>
    <row r="311" spans="1:13" ht="18.95" customHeight="1" x14ac:dyDescent="0.2">
      <c r="B311" s="145" t="s">
        <v>170</v>
      </c>
      <c r="C311" s="145" t="s">
        <v>275</v>
      </c>
      <c r="D311" s="146">
        <v>180</v>
      </c>
      <c r="E311" s="146">
        <v>220.25</v>
      </c>
      <c r="F311" s="147">
        <v>200</v>
      </c>
      <c r="G311" s="146">
        <v>296</v>
      </c>
      <c r="H311" s="188">
        <f t="shared" si="50"/>
        <v>0.48</v>
      </c>
    </row>
    <row r="312" spans="1:13" ht="18.95" customHeight="1" thickBot="1" x14ac:dyDescent="0.25">
      <c r="B312" s="145" t="s">
        <v>554</v>
      </c>
      <c r="C312" s="145" t="s">
        <v>550</v>
      </c>
      <c r="D312" s="141">
        <v>0</v>
      </c>
      <c r="E312" s="141">
        <v>0</v>
      </c>
      <c r="F312" s="142">
        <f>SUM(F310*0.44%)</f>
        <v>11.440000000000001</v>
      </c>
      <c r="G312" s="142">
        <f>SUM(G310*0.44%)</f>
        <v>16.944400000000002</v>
      </c>
      <c r="H312" s="188">
        <f t="shared" si="50"/>
        <v>0.48115384615384615</v>
      </c>
    </row>
    <row r="313" spans="1:13" s="140" customFormat="1" ht="18.95" customHeight="1" thickTop="1" thickBot="1" x14ac:dyDescent="0.3">
      <c r="C313" s="150" t="s">
        <v>592</v>
      </c>
      <c r="D313" s="176">
        <f t="shared" ref="D313:F313" si="62">SUM(D310:D312)</f>
        <v>2520</v>
      </c>
      <c r="E313" s="176">
        <f t="shared" si="62"/>
        <v>3099.25</v>
      </c>
      <c r="F313" s="176">
        <f t="shared" si="62"/>
        <v>2811.44</v>
      </c>
      <c r="G313" s="176">
        <f>SUM(G310:G312)</f>
        <v>4163.9444000000003</v>
      </c>
      <c r="H313" s="262">
        <f t="shared" si="50"/>
        <v>0.48107176393591905</v>
      </c>
      <c r="I313" s="188"/>
      <c r="J313" s="274"/>
      <c r="K313" s="274"/>
      <c r="L313" s="151"/>
      <c r="M313" s="151"/>
    </row>
    <row r="314" spans="1:13" ht="18.95" customHeight="1" thickTop="1" x14ac:dyDescent="0.25">
      <c r="A314" s="140"/>
      <c r="B314" s="140" t="s">
        <v>579</v>
      </c>
      <c r="C314" s="141"/>
      <c r="D314" s="142"/>
      <c r="E314" s="142"/>
      <c r="F314" s="141"/>
      <c r="G314" s="189"/>
      <c r="M314" s="145"/>
    </row>
    <row r="315" spans="1:13" ht="18.95" customHeight="1" thickBot="1" x14ac:dyDescent="0.25">
      <c r="B315" s="145" t="s">
        <v>171</v>
      </c>
      <c r="C315" s="145" t="s">
        <v>270</v>
      </c>
      <c r="D315" s="141">
        <v>527</v>
      </c>
      <c r="E315" s="141">
        <v>760.33</v>
      </c>
      <c r="F315" s="142">
        <v>1009</v>
      </c>
      <c r="G315" s="141">
        <v>1059</v>
      </c>
      <c r="H315" s="188">
        <f t="shared" si="50"/>
        <v>4.9554013875123884E-2</v>
      </c>
    </row>
    <row r="316" spans="1:13" s="140" customFormat="1" ht="18.95" customHeight="1" thickTop="1" thickBot="1" x14ac:dyDescent="0.3">
      <c r="C316" s="150" t="s">
        <v>592</v>
      </c>
      <c r="D316" s="176">
        <f t="shared" ref="D316:F316" si="63">SUM(D315)</f>
        <v>527</v>
      </c>
      <c r="E316" s="176">
        <f t="shared" si="63"/>
        <v>760.33</v>
      </c>
      <c r="F316" s="176">
        <f t="shared" si="63"/>
        <v>1009</v>
      </c>
      <c r="G316" s="176">
        <f>SUM(G315)</f>
        <v>1059</v>
      </c>
      <c r="H316" s="262">
        <f t="shared" si="50"/>
        <v>4.9554013875123884E-2</v>
      </c>
      <c r="I316" s="188"/>
      <c r="J316" s="274"/>
      <c r="K316" s="274"/>
      <c r="L316" s="151"/>
      <c r="M316" s="151"/>
    </row>
    <row r="317" spans="1:13" ht="18.95" customHeight="1" thickTop="1" x14ac:dyDescent="0.25">
      <c r="A317" s="140"/>
      <c r="B317" s="140" t="s">
        <v>580</v>
      </c>
      <c r="C317" s="141"/>
      <c r="D317" s="142"/>
      <c r="E317" s="142"/>
      <c r="F317" s="141"/>
      <c r="G317" s="189"/>
      <c r="M317" s="145"/>
    </row>
    <row r="318" spans="1:13" ht="18.95" customHeight="1" thickBot="1" x14ac:dyDescent="0.25">
      <c r="B318" s="145" t="s">
        <v>178</v>
      </c>
      <c r="C318" s="145" t="s">
        <v>801</v>
      </c>
      <c r="D318" s="141">
        <v>500</v>
      </c>
      <c r="E318" s="141">
        <v>0</v>
      </c>
      <c r="F318" s="142">
        <v>0</v>
      </c>
      <c r="G318" s="141">
        <v>0</v>
      </c>
      <c r="H318" s="188">
        <v>0</v>
      </c>
    </row>
    <row r="319" spans="1:13" s="140" customFormat="1" ht="18.95" customHeight="1" thickTop="1" thickBot="1" x14ac:dyDescent="0.3">
      <c r="C319" s="150" t="s">
        <v>592</v>
      </c>
      <c r="D319" s="176">
        <f t="shared" ref="D319:F319" si="64">SUM(D318)</f>
        <v>500</v>
      </c>
      <c r="E319" s="176">
        <f t="shared" si="64"/>
        <v>0</v>
      </c>
      <c r="F319" s="176">
        <f t="shared" si="64"/>
        <v>0</v>
      </c>
      <c r="G319" s="176">
        <f>SUM(G318)</f>
        <v>0</v>
      </c>
      <c r="H319" s="262">
        <v>0</v>
      </c>
      <c r="I319" s="188"/>
      <c r="J319" s="274"/>
      <c r="K319" s="274"/>
      <c r="L319" s="151"/>
      <c r="M319" s="151"/>
    </row>
    <row r="320" spans="1:13" ht="18.95" customHeight="1" thickTop="1" x14ac:dyDescent="0.25">
      <c r="A320" s="140"/>
      <c r="B320" s="140" t="s">
        <v>581</v>
      </c>
      <c r="C320" s="141"/>
      <c r="D320" s="142"/>
      <c r="E320" s="142"/>
      <c r="F320" s="141"/>
      <c r="G320" s="189"/>
      <c r="M320" s="145"/>
    </row>
    <row r="321" spans="1:13" ht="18.95" customHeight="1" x14ac:dyDescent="0.2">
      <c r="B321" s="145" t="s">
        <v>172</v>
      </c>
      <c r="C321" s="145" t="s">
        <v>279</v>
      </c>
      <c r="D321" s="141">
        <v>750</v>
      </c>
      <c r="E321" s="141">
        <v>727.66</v>
      </c>
      <c r="F321" s="142">
        <v>700</v>
      </c>
      <c r="G321" s="141">
        <v>800</v>
      </c>
      <c r="H321" s="188">
        <f t="shared" ref="H321:H364" si="65">(G321-F321)/F321</f>
        <v>0.14285714285714285</v>
      </c>
    </row>
    <row r="322" spans="1:13" ht="18.95" customHeight="1" x14ac:dyDescent="0.2">
      <c r="B322" s="145" t="s">
        <v>173</v>
      </c>
      <c r="C322" s="145" t="s">
        <v>265</v>
      </c>
      <c r="D322" s="146">
        <v>2000</v>
      </c>
      <c r="E322" s="146">
        <v>1258.75</v>
      </c>
      <c r="F322" s="147">
        <v>1500</v>
      </c>
      <c r="G322" s="146">
        <v>1500</v>
      </c>
      <c r="H322" s="188">
        <f t="shared" si="65"/>
        <v>0</v>
      </c>
    </row>
    <row r="323" spans="1:13" ht="18.95" customHeight="1" thickBot="1" x14ac:dyDescent="0.25">
      <c r="B323" s="145" t="s">
        <v>174</v>
      </c>
      <c r="C323" s="145" t="s">
        <v>608</v>
      </c>
      <c r="D323" s="141">
        <v>1750</v>
      </c>
      <c r="E323" s="141">
        <v>2464.5500000000002</v>
      </c>
      <c r="F323" s="142">
        <v>2000</v>
      </c>
      <c r="G323" s="141">
        <v>3000</v>
      </c>
      <c r="H323" s="188">
        <f t="shared" si="65"/>
        <v>0.5</v>
      </c>
    </row>
    <row r="324" spans="1:13" s="140" customFormat="1" ht="18.95" customHeight="1" thickTop="1" thickBot="1" x14ac:dyDescent="0.3">
      <c r="C324" s="150" t="s">
        <v>592</v>
      </c>
      <c r="D324" s="176">
        <f t="shared" ref="D324:F324" si="66">SUM(D321:D323)</f>
        <v>4500</v>
      </c>
      <c r="E324" s="176">
        <f t="shared" si="66"/>
        <v>4450.96</v>
      </c>
      <c r="F324" s="176">
        <f t="shared" si="66"/>
        <v>4200</v>
      </c>
      <c r="G324" s="176">
        <f>SUM(G321:G323)</f>
        <v>5300</v>
      </c>
      <c r="H324" s="262">
        <f t="shared" si="65"/>
        <v>0.26190476190476192</v>
      </c>
      <c r="I324" s="188"/>
      <c r="J324" s="274"/>
      <c r="K324" s="274"/>
      <c r="L324" s="151"/>
      <c r="M324" s="151"/>
    </row>
    <row r="325" spans="1:13" ht="18.95" customHeight="1" thickTop="1" x14ac:dyDescent="0.25">
      <c r="A325" s="140"/>
      <c r="B325" s="140" t="s">
        <v>582</v>
      </c>
      <c r="C325" s="141"/>
      <c r="D325" s="142"/>
      <c r="E325" s="142"/>
      <c r="F325" s="141"/>
      <c r="G325" s="189"/>
      <c r="M325" s="145"/>
    </row>
    <row r="326" spans="1:13" ht="18.95" customHeight="1" thickBot="1" x14ac:dyDescent="0.25">
      <c r="B326" s="145" t="s">
        <v>397</v>
      </c>
      <c r="C326" s="145" t="s">
        <v>396</v>
      </c>
      <c r="D326" s="152">
        <v>35000</v>
      </c>
      <c r="E326" s="152">
        <v>40472</v>
      </c>
      <c r="F326" s="241">
        <v>40000</v>
      </c>
      <c r="G326" s="141">
        <v>40000</v>
      </c>
      <c r="H326" s="188">
        <f>(G326-F326)/F326</f>
        <v>0</v>
      </c>
    </row>
    <row r="327" spans="1:13" s="140" customFormat="1" ht="18.95" customHeight="1" thickTop="1" thickBot="1" x14ac:dyDescent="0.3">
      <c r="C327" s="154" t="s">
        <v>592</v>
      </c>
      <c r="D327" s="176">
        <f t="shared" ref="D327:F327" si="67">SUM(D326)</f>
        <v>35000</v>
      </c>
      <c r="E327" s="176">
        <f t="shared" si="67"/>
        <v>40472</v>
      </c>
      <c r="F327" s="176">
        <f t="shared" si="67"/>
        <v>40000</v>
      </c>
      <c r="G327" s="176">
        <f>SUM(G326)</f>
        <v>40000</v>
      </c>
      <c r="H327" s="262">
        <v>0</v>
      </c>
      <c r="I327" s="188"/>
      <c r="J327" s="274"/>
      <c r="K327" s="274"/>
      <c r="L327" s="151"/>
    </row>
    <row r="328" spans="1:13" ht="18.95" customHeight="1" thickTop="1" x14ac:dyDescent="0.25">
      <c r="A328" s="140"/>
      <c r="B328" s="140"/>
      <c r="C328" s="141"/>
      <c r="D328" s="142"/>
      <c r="E328" s="142"/>
      <c r="F328" s="141"/>
      <c r="G328" s="189"/>
      <c r="M328" s="145"/>
    </row>
    <row r="329" spans="1:13" ht="18.95" customHeight="1" x14ac:dyDescent="0.25">
      <c r="A329" s="140"/>
      <c r="B329" s="140" t="s">
        <v>623</v>
      </c>
      <c r="C329" s="141"/>
      <c r="D329" s="142"/>
      <c r="E329" s="142"/>
      <c r="F329" s="141"/>
      <c r="G329" s="189"/>
      <c r="M329" s="145"/>
    </row>
    <row r="330" spans="1:13" ht="18.95" customHeight="1" x14ac:dyDescent="0.2">
      <c r="B330" s="145" t="s">
        <v>177</v>
      </c>
      <c r="C330" s="145" t="s">
        <v>805</v>
      </c>
      <c r="D330" s="141">
        <v>3000</v>
      </c>
      <c r="E330" s="141">
        <v>0</v>
      </c>
      <c r="F330" s="142">
        <v>3000</v>
      </c>
      <c r="G330" s="141">
        <v>3000</v>
      </c>
      <c r="H330" s="188">
        <f t="shared" si="65"/>
        <v>0</v>
      </c>
    </row>
    <row r="331" spans="1:13" ht="18.95" customHeight="1" thickBot="1" x14ac:dyDescent="0.3">
      <c r="A331" s="140"/>
      <c r="B331" s="145" t="s">
        <v>869</v>
      </c>
      <c r="C331" s="141" t="s">
        <v>859</v>
      </c>
      <c r="D331" s="142"/>
      <c r="E331" s="142"/>
      <c r="F331" s="141"/>
      <c r="G331" s="189">
        <v>250</v>
      </c>
      <c r="M331" s="145"/>
    </row>
    <row r="332" spans="1:13" s="140" customFormat="1" ht="18.95" customHeight="1" thickTop="1" thickBot="1" x14ac:dyDescent="0.3">
      <c r="C332" s="150" t="s">
        <v>592</v>
      </c>
      <c r="D332" s="176">
        <f t="shared" ref="D332:F332" si="68">SUM(D330)</f>
        <v>3000</v>
      </c>
      <c r="E332" s="176">
        <f t="shared" si="68"/>
        <v>0</v>
      </c>
      <c r="F332" s="176">
        <f t="shared" si="68"/>
        <v>3000</v>
      </c>
      <c r="G332" s="176">
        <f>SUM(G330:G331)</f>
        <v>3250</v>
      </c>
      <c r="H332" s="262">
        <f t="shared" si="65"/>
        <v>8.3333333333333329E-2</v>
      </c>
      <c r="I332" s="188"/>
      <c r="J332" s="274"/>
      <c r="K332" s="274"/>
      <c r="L332" s="151"/>
      <c r="M332" s="151"/>
    </row>
    <row r="333" spans="1:13" ht="18.95" customHeight="1" thickTop="1" x14ac:dyDescent="0.2"/>
    <row r="334" spans="1:13" ht="18.95" customHeight="1" x14ac:dyDescent="0.25">
      <c r="A334" s="140"/>
      <c r="B334" s="140" t="s">
        <v>583</v>
      </c>
      <c r="C334" s="141"/>
      <c r="D334" s="142"/>
      <c r="E334" s="142"/>
      <c r="F334" s="141"/>
      <c r="G334" s="189"/>
      <c r="M334" s="145"/>
    </row>
    <row r="335" spans="1:13" s="170" customFormat="1" ht="18.95" customHeight="1" x14ac:dyDescent="0.2">
      <c r="A335" s="145"/>
      <c r="B335" s="145" t="s">
        <v>175</v>
      </c>
      <c r="C335" s="145" t="s">
        <v>291</v>
      </c>
      <c r="D335" s="141">
        <v>3000</v>
      </c>
      <c r="E335" s="141">
        <v>7229.47</v>
      </c>
      <c r="F335" s="142">
        <v>3000</v>
      </c>
      <c r="G335" s="141">
        <v>3000</v>
      </c>
      <c r="H335" s="188">
        <f t="shared" si="65"/>
        <v>0</v>
      </c>
      <c r="I335" s="188"/>
      <c r="J335" s="143"/>
      <c r="K335" s="143"/>
      <c r="L335" s="144"/>
      <c r="M335" s="144"/>
    </row>
    <row r="336" spans="1:13" ht="18.95" customHeight="1" x14ac:dyDescent="0.2">
      <c r="B336" s="145" t="s">
        <v>176</v>
      </c>
      <c r="C336" s="145" t="s">
        <v>292</v>
      </c>
      <c r="D336" s="146">
        <v>1000</v>
      </c>
      <c r="E336" s="146">
        <v>0</v>
      </c>
      <c r="F336" s="147">
        <v>1000</v>
      </c>
      <c r="G336" s="146">
        <v>1000</v>
      </c>
      <c r="H336" s="188">
        <f t="shared" si="65"/>
        <v>0</v>
      </c>
    </row>
    <row r="337" spans="1:13" ht="18.95" customHeight="1" thickBot="1" x14ac:dyDescent="0.25">
      <c r="B337" s="145" t="s">
        <v>500</v>
      </c>
      <c r="C337" s="145" t="s">
        <v>836</v>
      </c>
      <c r="D337" s="141">
        <v>1000</v>
      </c>
      <c r="E337" s="141">
        <v>0</v>
      </c>
      <c r="F337" s="142">
        <v>1000</v>
      </c>
      <c r="G337" s="141">
        <v>1000</v>
      </c>
      <c r="H337" s="188">
        <f t="shared" si="65"/>
        <v>0</v>
      </c>
    </row>
    <row r="338" spans="1:13" s="140" customFormat="1" ht="18.95" customHeight="1" thickTop="1" thickBot="1" x14ac:dyDescent="0.3">
      <c r="C338" s="150" t="s">
        <v>592</v>
      </c>
      <c r="D338" s="176">
        <f>SUM(D335:D337)</f>
        <v>5000</v>
      </c>
      <c r="E338" s="176">
        <f>SUM(E335:E337)</f>
        <v>7229.47</v>
      </c>
      <c r="F338" s="176">
        <f>SUM(F335:F337)</f>
        <v>5000</v>
      </c>
      <c r="G338" s="176">
        <f>SUM(G335:G337)</f>
        <v>5000</v>
      </c>
      <c r="H338" s="262">
        <f t="shared" si="65"/>
        <v>0</v>
      </c>
      <c r="I338" s="188"/>
      <c r="J338" s="274"/>
      <c r="K338" s="274"/>
      <c r="L338" s="151"/>
      <c r="M338" s="151"/>
    </row>
    <row r="339" spans="1:13" ht="18.95" customHeight="1" thickTop="1" x14ac:dyDescent="0.25">
      <c r="B339" s="140" t="s">
        <v>595</v>
      </c>
    </row>
    <row r="340" spans="1:13" ht="18.95" customHeight="1" x14ac:dyDescent="0.2">
      <c r="B340" s="145" t="s">
        <v>437</v>
      </c>
      <c r="C340" s="145" t="s">
        <v>453</v>
      </c>
      <c r="D340" s="141">
        <v>15000</v>
      </c>
      <c r="E340" s="141">
        <v>13000</v>
      </c>
      <c r="F340" s="142">
        <v>15000</v>
      </c>
      <c r="G340" s="141">
        <v>15000</v>
      </c>
      <c r="H340" s="188">
        <f t="shared" si="65"/>
        <v>0</v>
      </c>
    </row>
    <row r="341" spans="1:13" ht="18.95" customHeight="1" x14ac:dyDescent="0.2">
      <c r="B341" s="145" t="s">
        <v>179</v>
      </c>
      <c r="C341" s="145" t="s">
        <v>845</v>
      </c>
      <c r="D341" s="146">
        <v>500</v>
      </c>
      <c r="E341" s="146">
        <v>0</v>
      </c>
      <c r="F341" s="147">
        <v>0</v>
      </c>
      <c r="G341" s="146">
        <v>0</v>
      </c>
      <c r="H341" s="188">
        <v>0</v>
      </c>
    </row>
    <row r="342" spans="1:13" ht="18.95" customHeight="1" x14ac:dyDescent="0.2">
      <c r="B342" s="145" t="s">
        <v>507</v>
      </c>
      <c r="C342" s="145" t="s">
        <v>477</v>
      </c>
      <c r="D342" s="146">
        <v>350</v>
      </c>
      <c r="E342" s="146">
        <v>0</v>
      </c>
      <c r="F342" s="147">
        <v>350</v>
      </c>
      <c r="G342" s="146">
        <v>350</v>
      </c>
      <c r="H342" s="188">
        <f t="shared" si="65"/>
        <v>0</v>
      </c>
    </row>
    <row r="343" spans="1:13" ht="18.95" customHeight="1" x14ac:dyDescent="0.2">
      <c r="B343" s="145" t="s">
        <v>194</v>
      </c>
      <c r="C343" s="145" t="s">
        <v>300</v>
      </c>
      <c r="D343" s="146">
        <v>2000</v>
      </c>
      <c r="E343" s="146">
        <v>2000</v>
      </c>
      <c r="F343" s="147">
        <v>2000</v>
      </c>
      <c r="G343" s="146">
        <v>0</v>
      </c>
      <c r="H343" s="188">
        <f t="shared" si="65"/>
        <v>-1</v>
      </c>
    </row>
    <row r="344" spans="1:13" ht="18.95" customHeight="1" x14ac:dyDescent="0.2">
      <c r="B344" s="145" t="s">
        <v>180</v>
      </c>
      <c r="C344" s="145" t="s">
        <v>318</v>
      </c>
      <c r="D344" s="146">
        <v>2000</v>
      </c>
      <c r="E344" s="146">
        <v>1500</v>
      </c>
      <c r="F344" s="147">
        <v>3000</v>
      </c>
      <c r="G344" s="146">
        <v>3000</v>
      </c>
      <c r="H344" s="188">
        <f t="shared" si="65"/>
        <v>0</v>
      </c>
    </row>
    <row r="345" spans="1:13" ht="18.95" customHeight="1" x14ac:dyDescent="0.2">
      <c r="B345" s="145" t="s">
        <v>186</v>
      </c>
      <c r="C345" s="145" t="s">
        <v>295</v>
      </c>
      <c r="D345" s="146">
        <v>400</v>
      </c>
      <c r="E345" s="146">
        <v>0</v>
      </c>
      <c r="F345" s="147">
        <v>400</v>
      </c>
      <c r="G345" s="146">
        <v>0</v>
      </c>
      <c r="H345" s="188">
        <f t="shared" si="65"/>
        <v>-1</v>
      </c>
    </row>
    <row r="346" spans="1:13" ht="18.95" customHeight="1" x14ac:dyDescent="0.2">
      <c r="B346" s="145" t="s">
        <v>406</v>
      </c>
      <c r="C346" s="145" t="s">
        <v>402</v>
      </c>
      <c r="D346" s="146">
        <v>2500</v>
      </c>
      <c r="E346" s="146">
        <v>2500</v>
      </c>
      <c r="F346" s="147">
        <v>2500</v>
      </c>
      <c r="G346" s="146">
        <v>2500</v>
      </c>
      <c r="H346" s="188">
        <f t="shared" si="65"/>
        <v>0</v>
      </c>
    </row>
    <row r="347" spans="1:13" ht="18.95" customHeight="1" thickBot="1" x14ac:dyDescent="0.25">
      <c r="B347" s="145" t="s">
        <v>506</v>
      </c>
      <c r="C347" s="145" t="s">
        <v>505</v>
      </c>
      <c r="D347" s="141">
        <v>3000</v>
      </c>
      <c r="E347" s="141">
        <v>3000</v>
      </c>
      <c r="F347" s="142">
        <v>3000</v>
      </c>
      <c r="G347" s="141">
        <v>3000</v>
      </c>
      <c r="H347" s="188">
        <f t="shared" si="65"/>
        <v>0</v>
      </c>
    </row>
    <row r="348" spans="1:13" ht="18.95" customHeight="1" thickTop="1" thickBot="1" x14ac:dyDescent="0.3">
      <c r="C348" s="150" t="s">
        <v>592</v>
      </c>
      <c r="D348" s="183">
        <f>SUM(D340:D347)</f>
        <v>25750</v>
      </c>
      <c r="E348" s="183">
        <f>SUM(E340:E347)</f>
        <v>22000</v>
      </c>
      <c r="F348" s="183">
        <f>SUM(F340:F347)</f>
        <v>26250</v>
      </c>
      <c r="G348" s="183">
        <f>SUM(G340:G347)</f>
        <v>23850</v>
      </c>
      <c r="H348" s="262">
        <f t="shared" si="65"/>
        <v>-9.1428571428571428E-2</v>
      </c>
    </row>
    <row r="349" spans="1:13" ht="18.95" customHeight="1" thickTop="1" x14ac:dyDescent="0.25">
      <c r="A349" s="140"/>
      <c r="B349" s="140" t="s">
        <v>585</v>
      </c>
      <c r="C349" s="141"/>
      <c r="D349" s="239"/>
      <c r="E349" s="239"/>
      <c r="F349" s="167"/>
      <c r="G349" s="189"/>
      <c r="M349" s="145"/>
    </row>
    <row r="350" spans="1:13" ht="18.95" customHeight="1" x14ac:dyDescent="0.2">
      <c r="B350" s="145" t="s">
        <v>181</v>
      </c>
      <c r="C350" s="145" t="s">
        <v>737</v>
      </c>
      <c r="D350" s="141">
        <v>79359</v>
      </c>
      <c r="E350" s="141">
        <v>79359</v>
      </c>
      <c r="F350" s="142">
        <v>80271</v>
      </c>
      <c r="G350" s="141">
        <v>0</v>
      </c>
      <c r="H350" s="188">
        <f t="shared" si="65"/>
        <v>-1</v>
      </c>
    </row>
    <row r="351" spans="1:13" ht="18.95" customHeight="1" thickBot="1" x14ac:dyDescent="0.25">
      <c r="C351" s="334" t="s">
        <v>872</v>
      </c>
      <c r="D351" s="335">
        <v>0</v>
      </c>
      <c r="E351" s="335">
        <v>0</v>
      </c>
      <c r="F351" s="336">
        <v>0</v>
      </c>
      <c r="G351" s="335">
        <v>10000</v>
      </c>
      <c r="H351" s="188">
        <v>1</v>
      </c>
    </row>
    <row r="352" spans="1:13" s="140" customFormat="1" ht="18.95" customHeight="1" thickTop="1" thickBot="1" x14ac:dyDescent="0.3">
      <c r="C352" s="150" t="s">
        <v>609</v>
      </c>
      <c r="D352" s="176">
        <f>SUM(D350:D351)</f>
        <v>79359</v>
      </c>
      <c r="E352" s="176">
        <f t="shared" ref="E352:G352" si="69">SUM(E350:E351)</f>
        <v>79359</v>
      </c>
      <c r="F352" s="176">
        <f t="shared" si="69"/>
        <v>80271</v>
      </c>
      <c r="G352" s="176">
        <f t="shared" si="69"/>
        <v>10000</v>
      </c>
      <c r="H352" s="262">
        <f t="shared" si="65"/>
        <v>-0.8754220079480759</v>
      </c>
      <c r="I352" s="188"/>
      <c r="J352" s="274"/>
      <c r="K352" s="274"/>
      <c r="L352" s="151"/>
      <c r="M352" s="151"/>
    </row>
    <row r="353" spans="1:13" ht="18.95" customHeight="1" thickTop="1" thickBot="1" x14ac:dyDescent="0.3">
      <c r="B353" s="140"/>
      <c r="C353" s="140"/>
    </row>
    <row r="354" spans="1:13" s="140" customFormat="1" ht="18.95" customHeight="1" thickTop="1" thickBot="1" x14ac:dyDescent="0.3">
      <c r="B354" s="180" t="s">
        <v>747</v>
      </c>
      <c r="C354" s="180"/>
      <c r="D354" s="181">
        <f>SUM(D352,D348,D338,D332,D327,D324,D319,D316,D313)</f>
        <v>156156</v>
      </c>
      <c r="E354" s="181">
        <f>SUM(E352,E348,E338,E332,E327,E324,E319,E316,E313)</f>
        <v>157371.00999999998</v>
      </c>
      <c r="F354" s="181">
        <f>SUM(F352,F348,F338,F332,F327,F324,F319,F316,F313)</f>
        <v>162541.44</v>
      </c>
      <c r="G354" s="181">
        <f>SUM(G352,G348,G338,G332,G327,G324,G319,G316,G313)</f>
        <v>92622.944400000008</v>
      </c>
      <c r="H354" s="263">
        <f t="shared" si="65"/>
        <v>-0.43015796833102987</v>
      </c>
      <c r="I354" s="188"/>
      <c r="J354" s="274"/>
      <c r="K354" s="274"/>
      <c r="L354" s="151"/>
      <c r="M354" s="151"/>
    </row>
    <row r="355" spans="1:13" ht="18.95" customHeight="1" thickTop="1" x14ac:dyDescent="0.2">
      <c r="B355" s="40"/>
      <c r="C355" s="40"/>
      <c r="D355" s="148"/>
      <c r="E355" s="148"/>
      <c r="F355" s="249"/>
    </row>
    <row r="356" spans="1:13" ht="18.95" customHeight="1" x14ac:dyDescent="0.25">
      <c r="A356" s="140" t="s">
        <v>768</v>
      </c>
      <c r="B356" s="141"/>
      <c r="C356" s="141"/>
      <c r="D356" s="238"/>
      <c r="E356" s="238"/>
      <c r="F356" s="143"/>
      <c r="G356" s="189"/>
      <c r="H356" s="188">
        <v>0</v>
      </c>
      <c r="J356" s="144"/>
      <c r="K356" s="144"/>
      <c r="L356" s="145"/>
      <c r="M356" s="145"/>
    </row>
    <row r="357" spans="1:13" s="140" customFormat="1" ht="18.95" customHeight="1" x14ac:dyDescent="0.25">
      <c r="A357" s="40"/>
      <c r="B357" s="156" t="s">
        <v>499</v>
      </c>
      <c r="C357" s="148"/>
      <c r="D357" s="157"/>
      <c r="E357" s="157"/>
      <c r="F357" s="238"/>
      <c r="G357" s="191"/>
      <c r="H357" s="188"/>
      <c r="I357" s="188"/>
      <c r="J357" s="274"/>
      <c r="K357" s="274"/>
      <c r="L357" s="151"/>
    </row>
    <row r="358" spans="1:13" ht="18.95" customHeight="1" x14ac:dyDescent="0.2">
      <c r="B358" s="145" t="s">
        <v>122</v>
      </c>
      <c r="C358" s="145" t="s">
        <v>510</v>
      </c>
      <c r="D358" s="141">
        <v>10000</v>
      </c>
      <c r="E358" s="141">
        <v>10490</v>
      </c>
      <c r="F358" s="142">
        <v>12500</v>
      </c>
      <c r="G358" s="141">
        <v>17000</v>
      </c>
      <c r="H358" s="188">
        <f t="shared" si="65"/>
        <v>0.36</v>
      </c>
    </row>
    <row r="359" spans="1:13" ht="18.95" customHeight="1" x14ac:dyDescent="0.2">
      <c r="B359" s="145" t="s">
        <v>188</v>
      </c>
      <c r="C359" s="145" t="s">
        <v>498</v>
      </c>
      <c r="D359" s="146">
        <v>3000</v>
      </c>
      <c r="E359" s="146">
        <v>3886.17</v>
      </c>
      <c r="F359" s="147">
        <v>3500</v>
      </c>
      <c r="G359" s="146">
        <v>4500</v>
      </c>
      <c r="H359" s="188">
        <f t="shared" si="65"/>
        <v>0.2857142857142857</v>
      </c>
    </row>
    <row r="360" spans="1:13" ht="18.95" customHeight="1" thickBot="1" x14ac:dyDescent="0.25">
      <c r="B360" s="145" t="s">
        <v>504</v>
      </c>
      <c r="C360" s="145" t="s">
        <v>501</v>
      </c>
      <c r="D360" s="141">
        <v>15840</v>
      </c>
      <c r="E360" s="141">
        <v>15840</v>
      </c>
      <c r="F360" s="142">
        <v>15840</v>
      </c>
      <c r="G360" s="141">
        <v>0</v>
      </c>
      <c r="H360" s="188">
        <f t="shared" si="65"/>
        <v>-1</v>
      </c>
    </row>
    <row r="361" spans="1:13" s="140" customFormat="1" ht="18.95" customHeight="1" thickTop="1" thickBot="1" x14ac:dyDescent="0.3">
      <c r="C361" s="150" t="s">
        <v>609</v>
      </c>
      <c r="D361" s="176">
        <f t="shared" ref="D361:F361" si="70">SUM(D358:D360)</f>
        <v>28840</v>
      </c>
      <c r="E361" s="176">
        <f t="shared" si="70"/>
        <v>30216.17</v>
      </c>
      <c r="F361" s="176">
        <f t="shared" si="70"/>
        <v>31840</v>
      </c>
      <c r="G361" s="176">
        <f>SUM(G358:G360)</f>
        <v>21500</v>
      </c>
      <c r="H361" s="262">
        <f t="shared" si="65"/>
        <v>-0.32474874371859297</v>
      </c>
      <c r="I361" s="188"/>
      <c r="J361" s="274"/>
      <c r="K361" s="274"/>
      <c r="L361" s="151"/>
      <c r="M361" s="151"/>
    </row>
    <row r="362" spans="1:13" ht="18.95" customHeight="1" thickTop="1" x14ac:dyDescent="0.25">
      <c r="A362" s="140"/>
      <c r="B362" s="140" t="s">
        <v>537</v>
      </c>
      <c r="C362" s="141"/>
      <c r="D362" s="142"/>
      <c r="E362" s="142"/>
      <c r="F362" s="238"/>
      <c r="G362" s="189"/>
      <c r="M362" s="145"/>
    </row>
    <row r="363" spans="1:13" ht="18.95" customHeight="1" x14ac:dyDescent="0.2">
      <c r="B363" s="145" t="s">
        <v>183</v>
      </c>
      <c r="C363" s="145" t="s">
        <v>294</v>
      </c>
      <c r="D363" s="141">
        <v>3500</v>
      </c>
      <c r="E363" s="141">
        <v>3500</v>
      </c>
      <c r="F363" s="142">
        <v>3000</v>
      </c>
      <c r="H363" s="188">
        <f t="shared" si="65"/>
        <v>-1</v>
      </c>
    </row>
    <row r="364" spans="1:13" ht="18.95" customHeight="1" x14ac:dyDescent="0.2">
      <c r="B364" s="145" t="s">
        <v>191</v>
      </c>
      <c r="C364" s="145" t="s">
        <v>299</v>
      </c>
      <c r="D364" s="146">
        <v>1000</v>
      </c>
      <c r="E364" s="146">
        <v>1000</v>
      </c>
      <c r="F364" s="147">
        <v>1000</v>
      </c>
      <c r="G364" s="146"/>
      <c r="H364" s="188">
        <f t="shared" si="65"/>
        <v>-1</v>
      </c>
    </row>
    <row r="365" spans="1:13" ht="18.95" customHeight="1" x14ac:dyDescent="0.2">
      <c r="B365" s="145" t="s">
        <v>508</v>
      </c>
      <c r="C365" s="145" t="s">
        <v>478</v>
      </c>
      <c r="D365" s="146">
        <v>1885</v>
      </c>
      <c r="E365" s="146">
        <v>1885</v>
      </c>
      <c r="F365" s="147">
        <v>1000</v>
      </c>
      <c r="G365" s="146"/>
      <c r="H365" s="188">
        <f t="shared" ref="H365:H426" si="71">(G365-F365)/F365</f>
        <v>-1</v>
      </c>
    </row>
    <row r="366" spans="1:13" ht="18.95" customHeight="1" x14ac:dyDescent="0.2">
      <c r="B366" s="145" t="s">
        <v>769</v>
      </c>
      <c r="C366" s="145" t="s">
        <v>536</v>
      </c>
      <c r="D366" s="146">
        <v>0</v>
      </c>
      <c r="E366" s="146">
        <v>0</v>
      </c>
      <c r="F366" s="147">
        <v>1000</v>
      </c>
      <c r="G366" s="146"/>
      <c r="H366" s="188">
        <f t="shared" si="71"/>
        <v>-1</v>
      </c>
    </row>
    <row r="367" spans="1:13" ht="18.95" customHeight="1" x14ac:dyDescent="0.2">
      <c r="B367" s="145" t="s">
        <v>192</v>
      </c>
      <c r="C367" s="145" t="s">
        <v>298</v>
      </c>
      <c r="D367" s="146">
        <v>3000</v>
      </c>
      <c r="E367" s="146">
        <v>3000</v>
      </c>
      <c r="F367" s="147">
        <v>6000</v>
      </c>
      <c r="G367" s="146"/>
      <c r="H367" s="188">
        <f t="shared" si="71"/>
        <v>-1</v>
      </c>
    </row>
    <row r="368" spans="1:13" ht="18.95" customHeight="1" x14ac:dyDescent="0.2">
      <c r="B368" s="145" t="s">
        <v>193</v>
      </c>
      <c r="C368" s="145" t="s">
        <v>846</v>
      </c>
      <c r="D368" s="146">
        <v>1500</v>
      </c>
      <c r="E368" s="146">
        <v>1500</v>
      </c>
      <c r="F368" s="147">
        <v>1500</v>
      </c>
      <c r="G368" s="146"/>
      <c r="H368" s="188">
        <f t="shared" si="71"/>
        <v>-1</v>
      </c>
    </row>
    <row r="369" spans="1:13" ht="18.95" customHeight="1" x14ac:dyDescent="0.2">
      <c r="B369" s="145" t="s">
        <v>455</v>
      </c>
      <c r="C369" s="145" t="s">
        <v>409</v>
      </c>
      <c r="D369" s="146">
        <v>5000</v>
      </c>
      <c r="E369" s="146">
        <v>5000</v>
      </c>
      <c r="F369" s="147">
        <v>5000</v>
      </c>
      <c r="G369" s="146"/>
      <c r="H369" s="188">
        <f t="shared" si="71"/>
        <v>-1</v>
      </c>
    </row>
    <row r="370" spans="1:13" ht="18.95" customHeight="1" x14ac:dyDescent="0.2">
      <c r="B370" s="145" t="s">
        <v>190</v>
      </c>
      <c r="C370" s="145" t="s">
        <v>297</v>
      </c>
      <c r="D370" s="146">
        <v>375</v>
      </c>
      <c r="E370" s="146">
        <v>375</v>
      </c>
      <c r="F370" s="147">
        <v>375</v>
      </c>
      <c r="G370" s="146"/>
      <c r="H370" s="188">
        <f t="shared" si="71"/>
        <v>-1</v>
      </c>
    </row>
    <row r="371" spans="1:13" ht="18.95" customHeight="1" thickBot="1" x14ac:dyDescent="0.25">
      <c r="B371" s="145" t="s">
        <v>182</v>
      </c>
      <c r="C371" s="145" t="s">
        <v>293</v>
      </c>
      <c r="D371" s="141">
        <v>500</v>
      </c>
      <c r="E371" s="141">
        <v>0</v>
      </c>
      <c r="F371" s="142">
        <v>500</v>
      </c>
      <c r="H371" s="188">
        <f t="shared" si="71"/>
        <v>-1</v>
      </c>
    </row>
    <row r="372" spans="1:13" s="140" customFormat="1" ht="18.95" customHeight="1" thickTop="1" thickBot="1" x14ac:dyDescent="0.3">
      <c r="C372" s="150" t="s">
        <v>609</v>
      </c>
      <c r="D372" s="176">
        <f>SUM(D363:D371)</f>
        <v>16760</v>
      </c>
      <c r="E372" s="176">
        <f>SUM(E363:E371)</f>
        <v>16260</v>
      </c>
      <c r="F372" s="176">
        <f>SUM(F363:F371)</f>
        <v>19375</v>
      </c>
      <c r="G372" s="176">
        <f>SUM(G363:G371)</f>
        <v>0</v>
      </c>
      <c r="H372" s="262">
        <f t="shared" si="71"/>
        <v>-1</v>
      </c>
      <c r="I372" s="188"/>
      <c r="J372" s="274"/>
      <c r="K372" s="274"/>
      <c r="L372" s="151"/>
      <c r="M372" s="151"/>
    </row>
    <row r="373" spans="1:13" ht="18.95" customHeight="1" thickTop="1" x14ac:dyDescent="0.25">
      <c r="B373" s="140" t="s">
        <v>538</v>
      </c>
      <c r="C373" s="141"/>
      <c r="D373" s="142"/>
      <c r="E373" s="142"/>
      <c r="F373" s="238"/>
      <c r="G373" s="189"/>
      <c r="M373" s="145"/>
    </row>
    <row r="374" spans="1:13" ht="18.95" customHeight="1" x14ac:dyDescent="0.2">
      <c r="B374" s="145" t="s">
        <v>187</v>
      </c>
      <c r="C374" s="145" t="s">
        <v>296</v>
      </c>
      <c r="D374" s="141">
        <v>58338</v>
      </c>
      <c r="E374" s="141">
        <v>58338</v>
      </c>
      <c r="F374" s="142">
        <v>60088</v>
      </c>
      <c r="G374" s="141">
        <v>60088</v>
      </c>
      <c r="H374" s="188">
        <f t="shared" si="71"/>
        <v>0</v>
      </c>
    </row>
    <row r="375" spans="1:13" ht="18.95" customHeight="1" thickBot="1" x14ac:dyDescent="0.25">
      <c r="B375" s="145" t="s">
        <v>189</v>
      </c>
      <c r="C375" s="145" t="s">
        <v>837</v>
      </c>
      <c r="D375" s="168">
        <v>12500</v>
      </c>
      <c r="E375" s="168">
        <v>12500</v>
      </c>
      <c r="F375" s="251">
        <v>12500</v>
      </c>
      <c r="G375" s="168">
        <v>12500</v>
      </c>
      <c r="H375" s="188">
        <f t="shared" si="71"/>
        <v>0</v>
      </c>
    </row>
    <row r="376" spans="1:13" s="140" customFormat="1" ht="18.95" customHeight="1" thickTop="1" thickBot="1" x14ac:dyDescent="0.3">
      <c r="B376" s="150"/>
      <c r="C376" s="150" t="s">
        <v>609</v>
      </c>
      <c r="D376" s="177">
        <f t="shared" ref="D376:F376" si="72">SUM(D374:D375)</f>
        <v>70838</v>
      </c>
      <c r="E376" s="177">
        <f t="shared" si="72"/>
        <v>70838</v>
      </c>
      <c r="F376" s="177">
        <f t="shared" si="72"/>
        <v>72588</v>
      </c>
      <c r="G376" s="177">
        <f>SUM(G374:G375)</f>
        <v>72588</v>
      </c>
      <c r="H376" s="262">
        <f t="shared" si="71"/>
        <v>0</v>
      </c>
      <c r="I376" s="188"/>
      <c r="J376" s="274"/>
      <c r="K376" s="274"/>
      <c r="L376" s="151"/>
      <c r="M376" s="151"/>
    </row>
    <row r="377" spans="1:13" ht="18.95" customHeight="1" thickTop="1" thickBot="1" x14ac:dyDescent="0.3">
      <c r="D377" s="162"/>
      <c r="E377" s="162"/>
      <c r="F377" s="245"/>
    </row>
    <row r="378" spans="1:13" ht="18.95" customHeight="1" thickTop="1" thickBot="1" x14ac:dyDescent="0.3">
      <c r="B378" s="180" t="s">
        <v>610</v>
      </c>
      <c r="C378" s="180"/>
      <c r="D378" s="257">
        <f>SUM(D361,D372,D376)</f>
        <v>116438</v>
      </c>
      <c r="E378" s="257">
        <f t="shared" ref="E378:F378" si="73">SUM(E361,E372,E376)</f>
        <v>117314.17</v>
      </c>
      <c r="F378" s="257">
        <f t="shared" si="73"/>
        <v>123803</v>
      </c>
      <c r="G378" s="257">
        <f>SUM(G361,G372,G376)</f>
        <v>94088</v>
      </c>
      <c r="H378" s="264">
        <f t="shared" si="71"/>
        <v>-0.24001841635501564</v>
      </c>
    </row>
    <row r="379" spans="1:13" ht="18.95" customHeight="1" thickTop="1" thickBot="1" x14ac:dyDescent="0.3">
      <c r="B379" s="140"/>
      <c r="C379" s="140"/>
      <c r="D379" s="162"/>
      <c r="E379" s="162"/>
      <c r="F379" s="245"/>
    </row>
    <row r="380" spans="1:13" ht="18.95" customHeight="1" thickTop="1" thickBot="1" x14ac:dyDescent="0.3">
      <c r="A380" s="178" t="s">
        <v>771</v>
      </c>
      <c r="B380" s="178"/>
      <c r="C380" s="178"/>
      <c r="D380" s="181">
        <f>SUM(D77,D83,D126,D194,D246,D306,D354,D378)</f>
        <v>2949952.85</v>
      </c>
      <c r="E380" s="181">
        <f>SUM(E77,E83,E126,E194,E246,E306,E354,E378)</f>
        <v>2785210.8110000002</v>
      </c>
      <c r="F380" s="181">
        <f>SUM(F77,F83,F126,F194,F246,F306,F354,F378)</f>
        <v>3050005.4635999999</v>
      </c>
      <c r="G380" s="181">
        <f>SUM(G77,G83,G126,G194,G246,G306,G354,G378)</f>
        <v>3434168.2718639998</v>
      </c>
      <c r="H380" s="263">
        <f t="shared" si="71"/>
        <v>0.12595479347455418</v>
      </c>
    </row>
    <row r="381" spans="1:13" ht="18.95" customHeight="1" thickTop="1" x14ac:dyDescent="0.25">
      <c r="A381" s="140"/>
      <c r="B381" s="140"/>
      <c r="C381" s="140"/>
      <c r="D381" s="162"/>
      <c r="E381" s="162"/>
      <c r="F381" s="245"/>
    </row>
    <row r="382" spans="1:13" ht="18.95" customHeight="1" x14ac:dyDescent="0.25">
      <c r="A382" s="140" t="s">
        <v>459</v>
      </c>
      <c r="B382" s="140"/>
      <c r="C382" s="140"/>
      <c r="D382" s="162"/>
      <c r="E382" s="162"/>
      <c r="F382" s="245"/>
    </row>
    <row r="383" spans="1:13" ht="18.95" customHeight="1" x14ac:dyDescent="0.25">
      <c r="B383" s="140" t="s">
        <v>591</v>
      </c>
      <c r="C383" s="140"/>
      <c r="J383" s="144"/>
      <c r="K383" s="144"/>
      <c r="L383" s="145"/>
      <c r="M383" s="145"/>
    </row>
    <row r="384" spans="1:13" ht="18.95" customHeight="1" x14ac:dyDescent="0.2">
      <c r="B384" s="145" t="s">
        <v>195</v>
      </c>
      <c r="C384" s="145" t="s">
        <v>808</v>
      </c>
      <c r="D384" s="146">
        <v>412443.2</v>
      </c>
      <c r="E384" s="146">
        <v>413116.24</v>
      </c>
      <c r="F384" s="147">
        <v>454584</v>
      </c>
      <c r="G384" s="146">
        <v>463840</v>
      </c>
      <c r="H384" s="188">
        <f t="shared" si="71"/>
        <v>2.036147334706017E-2</v>
      </c>
    </row>
    <row r="385" spans="2:8" ht="18.95" customHeight="1" x14ac:dyDescent="0.2">
      <c r="B385" s="145" t="s">
        <v>493</v>
      </c>
      <c r="C385" s="145" t="s">
        <v>611</v>
      </c>
      <c r="D385" s="146">
        <v>2459</v>
      </c>
      <c r="E385" s="146">
        <v>2217.38</v>
      </c>
      <c r="F385" s="147">
        <v>5476</v>
      </c>
      <c r="G385" s="146">
        <v>7283.5</v>
      </c>
      <c r="H385" s="188">
        <f t="shared" si="71"/>
        <v>0.33007669831994157</v>
      </c>
    </row>
    <row r="386" spans="2:8" ht="18.95" customHeight="1" x14ac:dyDescent="0.2">
      <c r="B386" s="145" t="s">
        <v>197</v>
      </c>
      <c r="C386" s="145" t="s">
        <v>30</v>
      </c>
      <c r="D386" s="146">
        <v>50000</v>
      </c>
      <c r="E386" s="146">
        <v>81066.880000000005</v>
      </c>
      <c r="F386" s="147">
        <v>50000</v>
      </c>
      <c r="G386" s="146">
        <v>50000</v>
      </c>
      <c r="H386" s="188">
        <f t="shared" si="71"/>
        <v>0</v>
      </c>
    </row>
    <row r="387" spans="2:8" ht="18.95" customHeight="1" x14ac:dyDescent="0.2">
      <c r="B387" s="145" t="s">
        <v>196</v>
      </c>
      <c r="C387" s="145" t="s">
        <v>598</v>
      </c>
      <c r="D387" s="146">
        <v>12500</v>
      </c>
      <c r="E387" s="146">
        <v>15450.16</v>
      </c>
      <c r="F387" s="147">
        <v>20000</v>
      </c>
      <c r="G387" s="146">
        <v>15000</v>
      </c>
      <c r="H387" s="188">
        <f t="shared" si="71"/>
        <v>-0.25</v>
      </c>
    </row>
    <row r="388" spans="2:8" ht="18.95" customHeight="1" x14ac:dyDescent="0.2">
      <c r="B388" s="145" t="s">
        <v>198</v>
      </c>
      <c r="C388" s="145" t="s">
        <v>275</v>
      </c>
      <c r="D388" s="146">
        <v>36760</v>
      </c>
      <c r="E388" s="146">
        <v>37755.06</v>
      </c>
      <c r="F388" s="147">
        <v>40815</v>
      </c>
      <c r="G388" s="146">
        <v>41282</v>
      </c>
      <c r="H388" s="188">
        <f t="shared" si="71"/>
        <v>1.1441871860835477E-2</v>
      </c>
    </row>
    <row r="389" spans="2:8" ht="18.95" customHeight="1" x14ac:dyDescent="0.2">
      <c r="B389" s="145" t="s">
        <v>556</v>
      </c>
      <c r="C389" s="145" t="s">
        <v>550</v>
      </c>
      <c r="D389" s="146">
        <v>0</v>
      </c>
      <c r="E389" s="146">
        <v>2052.02</v>
      </c>
      <c r="F389" s="147">
        <f>SUM(F384:F387)*0.44%</f>
        <v>2332.2640000000001</v>
      </c>
      <c r="G389" s="147">
        <f>SUM(G384:G387)*0.44%</f>
        <v>2358.9434000000001</v>
      </c>
      <c r="H389" s="188">
        <f t="shared" si="71"/>
        <v>1.1439271025921587E-2</v>
      </c>
    </row>
    <row r="390" spans="2:8" ht="18.95" customHeight="1" x14ac:dyDescent="0.2">
      <c r="B390" s="145" t="s">
        <v>199</v>
      </c>
      <c r="C390" s="145" t="s">
        <v>588</v>
      </c>
      <c r="D390" s="146">
        <v>31638</v>
      </c>
      <c r="E390" s="146">
        <v>35316.410000000003</v>
      </c>
      <c r="F390" s="147">
        <v>36979</v>
      </c>
      <c r="G390" s="146">
        <v>39084</v>
      </c>
      <c r="H390" s="188">
        <f t="shared" si="71"/>
        <v>5.6924200221747476E-2</v>
      </c>
    </row>
    <row r="391" spans="2:8" ht="18.95" customHeight="1" x14ac:dyDescent="0.2">
      <c r="B391" s="145" t="s">
        <v>200</v>
      </c>
      <c r="C391" s="145" t="s">
        <v>590</v>
      </c>
      <c r="D391" s="146">
        <v>63481</v>
      </c>
      <c r="E391" s="146">
        <v>58198.1</v>
      </c>
      <c r="F391" s="147">
        <v>55868</v>
      </c>
      <c r="G391" s="146">
        <v>58378</v>
      </c>
      <c r="H391" s="188">
        <f t="shared" si="71"/>
        <v>4.4927328703372238E-2</v>
      </c>
    </row>
    <row r="392" spans="2:8" ht="18.95" customHeight="1" x14ac:dyDescent="0.2">
      <c r="B392" s="145" t="s">
        <v>770</v>
      </c>
      <c r="C392" s="145" t="s">
        <v>589</v>
      </c>
      <c r="D392" s="146">
        <v>0</v>
      </c>
      <c r="E392" s="146">
        <v>0</v>
      </c>
      <c r="F392" s="147">
        <v>0</v>
      </c>
      <c r="G392" s="146">
        <v>5241</v>
      </c>
      <c r="H392" s="188">
        <v>1</v>
      </c>
    </row>
    <row r="393" spans="2:8" ht="18.95" customHeight="1" thickBot="1" x14ac:dyDescent="0.25">
      <c r="B393" s="145" t="s">
        <v>201</v>
      </c>
      <c r="C393" s="145" t="s">
        <v>811</v>
      </c>
      <c r="D393" s="149">
        <v>2970</v>
      </c>
      <c r="E393" s="149">
        <v>2270.91</v>
      </c>
      <c r="F393" s="240">
        <v>3040</v>
      </c>
      <c r="G393" s="141">
        <v>2790</v>
      </c>
      <c r="H393" s="188">
        <f t="shared" si="71"/>
        <v>-8.2236842105263164E-2</v>
      </c>
    </row>
    <row r="394" spans="2:8" ht="18.95" customHeight="1" thickTop="1" thickBot="1" x14ac:dyDescent="0.3">
      <c r="C394" s="150" t="s">
        <v>592</v>
      </c>
      <c r="D394" s="176">
        <f>SUM(D384:D393)</f>
        <v>612251.19999999995</v>
      </c>
      <c r="E394" s="176">
        <f>SUM(E384:E393)</f>
        <v>647443.16</v>
      </c>
      <c r="F394" s="176">
        <f>SUM(F384:F393)</f>
        <v>669094.26399999997</v>
      </c>
      <c r="G394" s="176">
        <f>SUM(G384:G393)</f>
        <v>685257.44339999999</v>
      </c>
      <c r="H394" s="262">
        <f t="shared" si="71"/>
        <v>2.4156804608326494E-2</v>
      </c>
    </row>
    <row r="395" spans="2:8" ht="18.95" customHeight="1" thickTop="1" x14ac:dyDescent="0.25">
      <c r="B395" s="140" t="s">
        <v>578</v>
      </c>
      <c r="D395" s="155"/>
      <c r="E395" s="155"/>
      <c r="F395" s="243"/>
    </row>
    <row r="396" spans="2:8" ht="18.95" customHeight="1" x14ac:dyDescent="0.2">
      <c r="B396" s="145" t="s">
        <v>202</v>
      </c>
      <c r="C396" s="145" t="s">
        <v>301</v>
      </c>
      <c r="D396" s="141">
        <v>3500</v>
      </c>
      <c r="E396" s="141">
        <v>4572.62</v>
      </c>
      <c r="F396" s="142">
        <v>3750</v>
      </c>
      <c r="G396" s="141">
        <v>4000</v>
      </c>
      <c r="H396" s="188">
        <f t="shared" si="71"/>
        <v>6.6666666666666666E-2</v>
      </c>
    </row>
    <row r="397" spans="2:8" ht="18.95" customHeight="1" x14ac:dyDescent="0.2">
      <c r="B397" s="145" t="s">
        <v>206</v>
      </c>
      <c r="C397" s="145" t="s">
        <v>838</v>
      </c>
      <c r="D397" s="146">
        <v>200</v>
      </c>
      <c r="E397" s="146">
        <v>4773</v>
      </c>
      <c r="F397" s="147">
        <v>200</v>
      </c>
      <c r="G397" s="146">
        <v>5000</v>
      </c>
      <c r="H397" s="188">
        <f t="shared" si="71"/>
        <v>24</v>
      </c>
    </row>
    <row r="398" spans="2:8" ht="18.95" customHeight="1" thickBot="1" x14ac:dyDescent="0.25">
      <c r="B398" s="145" t="s">
        <v>204</v>
      </c>
      <c r="C398" s="145" t="s">
        <v>277</v>
      </c>
      <c r="D398" s="149">
        <v>200</v>
      </c>
      <c r="E398" s="149">
        <v>46.9</v>
      </c>
      <c r="F398" s="240">
        <v>200</v>
      </c>
      <c r="G398" s="141">
        <v>200</v>
      </c>
      <c r="H398" s="188">
        <f t="shared" si="71"/>
        <v>0</v>
      </c>
    </row>
    <row r="399" spans="2:8" ht="18.95" customHeight="1" thickTop="1" thickBot="1" x14ac:dyDescent="0.3">
      <c r="C399" s="150" t="s">
        <v>592</v>
      </c>
      <c r="D399" s="183">
        <f>SUM(D396:D398)</f>
        <v>3900</v>
      </c>
      <c r="E399" s="183">
        <f>SUM(E396:E398)</f>
        <v>9392.5199999999986</v>
      </c>
      <c r="F399" s="183">
        <f>SUM(F396:F398)</f>
        <v>4150</v>
      </c>
      <c r="G399" s="183">
        <f>SUM(G396:G398)</f>
        <v>9200</v>
      </c>
      <c r="H399" s="262">
        <f t="shared" si="71"/>
        <v>1.2168674698795181</v>
      </c>
    </row>
    <row r="400" spans="2:8" ht="18.95" customHeight="1" thickTop="1" x14ac:dyDescent="0.25">
      <c r="B400" s="140" t="s">
        <v>601</v>
      </c>
    </row>
    <row r="401" spans="2:8" ht="18.95" customHeight="1" x14ac:dyDescent="0.2">
      <c r="B401" s="145" t="s">
        <v>207</v>
      </c>
      <c r="C401" s="145" t="s">
        <v>302</v>
      </c>
      <c r="D401" s="141">
        <v>33623</v>
      </c>
      <c r="E401" s="141">
        <v>37732.94</v>
      </c>
      <c r="F401" s="142">
        <v>41804</v>
      </c>
      <c r="G401" s="141">
        <v>43894</v>
      </c>
      <c r="H401" s="188">
        <f t="shared" si="71"/>
        <v>4.999521576882595E-2</v>
      </c>
    </row>
    <row r="402" spans="2:8" ht="18.95" customHeight="1" thickBot="1" x14ac:dyDescent="0.25">
      <c r="B402" s="145" t="s">
        <v>203</v>
      </c>
      <c r="C402" s="145" t="s">
        <v>778</v>
      </c>
      <c r="D402" s="166">
        <v>1000</v>
      </c>
      <c r="E402" s="166">
        <v>376.41</v>
      </c>
      <c r="F402" s="250">
        <v>500</v>
      </c>
      <c r="G402" s="166">
        <v>500</v>
      </c>
      <c r="H402" s="188">
        <f t="shared" si="71"/>
        <v>0</v>
      </c>
    </row>
    <row r="403" spans="2:8" ht="18.95" customHeight="1" thickTop="1" thickBot="1" x14ac:dyDescent="0.3">
      <c r="C403" s="150" t="s">
        <v>592</v>
      </c>
      <c r="D403" s="183">
        <f t="shared" ref="D403:F403" si="74">SUM(D401:D402)</f>
        <v>34623</v>
      </c>
      <c r="E403" s="183">
        <f t="shared" si="74"/>
        <v>38109.350000000006</v>
      </c>
      <c r="F403" s="183">
        <f t="shared" si="74"/>
        <v>42304</v>
      </c>
      <c r="G403" s="183">
        <f>SUM(G401:G402)</f>
        <v>44394</v>
      </c>
      <c r="H403" s="262">
        <f t="shared" si="71"/>
        <v>4.9404311649016638E-2</v>
      </c>
    </row>
    <row r="404" spans="2:8" ht="18.95" customHeight="1" thickTop="1" x14ac:dyDescent="0.25">
      <c r="B404" s="140" t="s">
        <v>580</v>
      </c>
      <c r="D404" s="155"/>
      <c r="E404" s="155"/>
      <c r="F404" s="243"/>
    </row>
    <row r="405" spans="2:8" ht="18.95" customHeight="1" x14ac:dyDescent="0.2">
      <c r="B405" s="145" t="s">
        <v>240</v>
      </c>
      <c r="C405" s="145" t="s">
        <v>802</v>
      </c>
      <c r="D405" s="141">
        <v>1000</v>
      </c>
      <c r="E405" s="141">
        <v>948.54</v>
      </c>
      <c r="F405" s="142">
        <v>1000</v>
      </c>
      <c r="G405" s="141">
        <v>1200</v>
      </c>
      <c r="H405" s="188">
        <f t="shared" si="71"/>
        <v>0.2</v>
      </c>
    </row>
    <row r="406" spans="2:8" ht="18.95" customHeight="1" x14ac:dyDescent="0.2">
      <c r="B406" s="145" t="s">
        <v>216</v>
      </c>
      <c r="C406" s="145" t="s">
        <v>839</v>
      </c>
      <c r="D406" s="146">
        <v>2000</v>
      </c>
      <c r="E406" s="146">
        <v>1802.63</v>
      </c>
      <c r="F406" s="147">
        <v>500</v>
      </c>
      <c r="G406" s="146">
        <v>700</v>
      </c>
      <c r="H406" s="188">
        <f t="shared" si="71"/>
        <v>0.4</v>
      </c>
    </row>
    <row r="407" spans="2:8" ht="18.95" customHeight="1" x14ac:dyDescent="0.2">
      <c r="B407" s="145" t="s">
        <v>217</v>
      </c>
      <c r="C407" s="145" t="s">
        <v>304</v>
      </c>
      <c r="D407" s="146">
        <v>60000</v>
      </c>
      <c r="E407" s="146">
        <v>51381.120000000003</v>
      </c>
      <c r="F407" s="147">
        <v>65000</v>
      </c>
      <c r="G407" s="146">
        <v>65000</v>
      </c>
      <c r="H407" s="188">
        <f t="shared" si="71"/>
        <v>0</v>
      </c>
    </row>
    <row r="408" spans="2:8" ht="18.95" customHeight="1" x14ac:dyDescent="0.2">
      <c r="B408" s="145" t="s">
        <v>237</v>
      </c>
      <c r="C408" s="145" t="s">
        <v>847</v>
      </c>
      <c r="D408" s="146">
        <v>1000</v>
      </c>
      <c r="E408" s="146">
        <v>194.14</v>
      </c>
      <c r="F408" s="147">
        <v>1000</v>
      </c>
      <c r="G408" s="146">
        <v>1000</v>
      </c>
      <c r="H408" s="188">
        <f t="shared" si="71"/>
        <v>0</v>
      </c>
    </row>
    <row r="409" spans="2:8" ht="18.95" customHeight="1" x14ac:dyDescent="0.2">
      <c r="B409" s="145" t="s">
        <v>235</v>
      </c>
      <c r="C409" s="145" t="s">
        <v>848</v>
      </c>
      <c r="D409" s="146">
        <v>1000</v>
      </c>
      <c r="E409" s="146">
        <v>718.93</v>
      </c>
      <c r="F409" s="147">
        <v>1000</v>
      </c>
      <c r="G409" s="146">
        <v>1000</v>
      </c>
      <c r="H409" s="188">
        <f t="shared" si="71"/>
        <v>0</v>
      </c>
    </row>
    <row r="410" spans="2:8" ht="18.95" customHeight="1" x14ac:dyDescent="0.2">
      <c r="B410" s="145" t="s">
        <v>239</v>
      </c>
      <c r="C410" s="145" t="s">
        <v>312</v>
      </c>
      <c r="D410" s="146">
        <v>15000</v>
      </c>
      <c r="E410" s="146">
        <v>17992.22</v>
      </c>
      <c r="F410" s="147">
        <v>15000</v>
      </c>
      <c r="G410" s="146">
        <v>20000</v>
      </c>
      <c r="H410" s="188">
        <f t="shared" si="71"/>
        <v>0.33333333333333331</v>
      </c>
    </row>
    <row r="411" spans="2:8" ht="18.95" customHeight="1" x14ac:dyDescent="0.2">
      <c r="B411" s="145" t="s">
        <v>247</v>
      </c>
      <c r="C411" s="145" t="s">
        <v>315</v>
      </c>
      <c r="D411" s="146">
        <v>100000</v>
      </c>
      <c r="E411" s="146">
        <v>97958.080000000002</v>
      </c>
      <c r="F411" s="147">
        <v>100000</v>
      </c>
      <c r="G411" s="146">
        <v>115000</v>
      </c>
      <c r="H411" s="188">
        <f t="shared" si="71"/>
        <v>0.15</v>
      </c>
    </row>
    <row r="412" spans="2:8" ht="18.95" customHeight="1" thickBot="1" x14ac:dyDescent="0.25">
      <c r="B412" s="145" t="s">
        <v>248</v>
      </c>
      <c r="C412" s="145" t="s">
        <v>316</v>
      </c>
      <c r="D412" s="149">
        <v>40000</v>
      </c>
      <c r="E412" s="149">
        <v>35270.879999999997</v>
      </c>
      <c r="F412" s="240">
        <v>35000</v>
      </c>
      <c r="G412" s="141">
        <v>45000</v>
      </c>
      <c r="H412" s="188">
        <f t="shared" si="71"/>
        <v>0.2857142857142857</v>
      </c>
    </row>
    <row r="413" spans="2:8" ht="18.95" customHeight="1" thickTop="1" thickBot="1" x14ac:dyDescent="0.3">
      <c r="C413" s="150" t="s">
        <v>592</v>
      </c>
      <c r="D413" s="183">
        <f t="shared" ref="D413:F413" si="75">SUM(D405:D412)</f>
        <v>220000</v>
      </c>
      <c r="E413" s="183">
        <f t="shared" si="75"/>
        <v>206266.54</v>
      </c>
      <c r="F413" s="183">
        <f t="shared" si="75"/>
        <v>218500</v>
      </c>
      <c r="G413" s="183">
        <f>SUM(G405:G412)</f>
        <v>248900</v>
      </c>
      <c r="H413" s="262">
        <f t="shared" si="71"/>
        <v>0.1391304347826087</v>
      </c>
    </row>
    <row r="414" spans="2:8" ht="18.95" customHeight="1" thickTop="1" x14ac:dyDescent="0.25">
      <c r="B414" s="140" t="s">
        <v>581</v>
      </c>
      <c r="D414" s="155"/>
      <c r="E414" s="155"/>
      <c r="F414" s="243"/>
    </row>
    <row r="415" spans="2:8" ht="18.95" customHeight="1" x14ac:dyDescent="0.2">
      <c r="B415" s="145" t="s">
        <v>205</v>
      </c>
      <c r="C415" s="145" t="s">
        <v>261</v>
      </c>
      <c r="D415" s="141">
        <v>2800</v>
      </c>
      <c r="E415" s="141">
        <v>3887.41</v>
      </c>
      <c r="F415" s="142">
        <v>4000</v>
      </c>
      <c r="G415" s="141">
        <v>4250</v>
      </c>
      <c r="H415" s="188">
        <f t="shared" si="71"/>
        <v>6.25E-2</v>
      </c>
    </row>
    <row r="416" spans="2:8" ht="18.95" customHeight="1" x14ac:dyDescent="0.2">
      <c r="B416" s="145" t="s">
        <v>516</v>
      </c>
      <c r="C416" s="145" t="s">
        <v>496</v>
      </c>
      <c r="D416" s="146">
        <v>1000</v>
      </c>
      <c r="E416" s="146">
        <v>1080.68</v>
      </c>
      <c r="F416" s="147">
        <v>1000</v>
      </c>
      <c r="G416" s="146">
        <v>1250</v>
      </c>
      <c r="H416" s="188">
        <f t="shared" si="71"/>
        <v>0.25</v>
      </c>
    </row>
    <row r="417" spans="2:14" ht="18.95" customHeight="1" x14ac:dyDescent="0.2">
      <c r="B417" s="145" t="s">
        <v>208</v>
      </c>
      <c r="C417" s="145" t="s">
        <v>262</v>
      </c>
      <c r="D417" s="146">
        <v>9000</v>
      </c>
      <c r="E417" s="146">
        <v>7677.61</v>
      </c>
      <c r="F417" s="147">
        <v>7500</v>
      </c>
      <c r="G417" s="146">
        <v>8000</v>
      </c>
      <c r="H417" s="188">
        <f t="shared" si="71"/>
        <v>6.6666666666666666E-2</v>
      </c>
    </row>
    <row r="418" spans="2:14" ht="18.95" customHeight="1" x14ac:dyDescent="0.2">
      <c r="B418" s="145" t="s">
        <v>209</v>
      </c>
      <c r="C418" s="145" t="s">
        <v>319</v>
      </c>
      <c r="D418" s="146">
        <v>3000</v>
      </c>
      <c r="E418" s="146">
        <v>2559.83</v>
      </c>
      <c r="F418" s="147">
        <v>3000</v>
      </c>
      <c r="G418" s="146">
        <v>3000</v>
      </c>
      <c r="H418" s="188">
        <f t="shared" si="71"/>
        <v>0</v>
      </c>
      <c r="N418" s="171"/>
    </row>
    <row r="419" spans="2:14" ht="18.95" customHeight="1" x14ac:dyDescent="0.2">
      <c r="B419" s="145" t="s">
        <v>213</v>
      </c>
      <c r="C419" s="145" t="s">
        <v>320</v>
      </c>
      <c r="D419" s="146">
        <v>16000</v>
      </c>
      <c r="E419" s="146">
        <v>14240.86</v>
      </c>
      <c r="F419" s="147">
        <v>17000</v>
      </c>
      <c r="G419" s="146">
        <v>16000</v>
      </c>
      <c r="H419" s="188">
        <f t="shared" si="71"/>
        <v>-5.8823529411764705E-2</v>
      </c>
    </row>
    <row r="420" spans="2:14" ht="18.95" customHeight="1" x14ac:dyDescent="0.2">
      <c r="B420" s="145" t="s">
        <v>210</v>
      </c>
      <c r="C420" s="145" t="s">
        <v>265</v>
      </c>
      <c r="D420" s="146">
        <v>2000</v>
      </c>
      <c r="E420" s="146">
        <v>1626.18</v>
      </c>
      <c r="F420" s="147">
        <v>1750</v>
      </c>
      <c r="G420" s="146">
        <v>1750</v>
      </c>
      <c r="H420" s="188">
        <f t="shared" si="71"/>
        <v>0</v>
      </c>
    </row>
    <row r="421" spans="2:14" ht="18.95" customHeight="1" thickBot="1" x14ac:dyDescent="0.25">
      <c r="B421" s="145" t="s">
        <v>211</v>
      </c>
      <c r="C421" s="145" t="s">
        <v>608</v>
      </c>
      <c r="D421" s="149">
        <v>1800</v>
      </c>
      <c r="E421" s="149">
        <v>1632.36</v>
      </c>
      <c r="F421" s="240">
        <v>2000</v>
      </c>
      <c r="G421" s="141">
        <v>2000</v>
      </c>
      <c r="H421" s="188">
        <f t="shared" si="71"/>
        <v>0</v>
      </c>
    </row>
    <row r="422" spans="2:14" ht="18.95" customHeight="1" thickTop="1" thickBot="1" x14ac:dyDescent="0.3">
      <c r="C422" s="150" t="s">
        <v>592</v>
      </c>
      <c r="D422" s="183">
        <f t="shared" ref="D422:F422" si="76">SUM(D415:D421)</f>
        <v>35600</v>
      </c>
      <c r="E422" s="183">
        <f t="shared" si="76"/>
        <v>32704.93</v>
      </c>
      <c r="F422" s="183">
        <f t="shared" si="76"/>
        <v>36250</v>
      </c>
      <c r="G422" s="183">
        <f>SUM(G415:G421)</f>
        <v>36250</v>
      </c>
      <c r="H422" s="262">
        <f t="shared" si="71"/>
        <v>0</v>
      </c>
    </row>
    <row r="423" spans="2:14" ht="18.95" customHeight="1" thickTop="1" x14ac:dyDescent="0.25">
      <c r="B423" s="140" t="s">
        <v>582</v>
      </c>
      <c r="D423" s="155"/>
      <c r="E423" s="155"/>
      <c r="F423" s="243"/>
    </row>
    <row r="424" spans="2:14" ht="18.95" customHeight="1" x14ac:dyDescent="0.2">
      <c r="B424" s="145" t="s">
        <v>232</v>
      </c>
      <c r="C424" s="145" t="s">
        <v>309</v>
      </c>
      <c r="D424" s="141">
        <v>500</v>
      </c>
      <c r="E424" s="141">
        <v>0</v>
      </c>
      <c r="F424" s="142">
        <v>500</v>
      </c>
      <c r="G424" s="141">
        <v>500</v>
      </c>
      <c r="H424" s="188">
        <f t="shared" si="71"/>
        <v>0</v>
      </c>
    </row>
    <row r="425" spans="2:14" ht="18.95" customHeight="1" x14ac:dyDescent="0.2">
      <c r="B425" s="145" t="s">
        <v>231</v>
      </c>
      <c r="C425" s="145" t="s">
        <v>308</v>
      </c>
      <c r="D425" s="146">
        <v>10000</v>
      </c>
      <c r="E425" s="146">
        <v>9802.5</v>
      </c>
      <c r="F425" s="147">
        <v>10000</v>
      </c>
      <c r="G425" s="146">
        <v>12000</v>
      </c>
      <c r="H425" s="188">
        <f t="shared" si="71"/>
        <v>0.2</v>
      </c>
    </row>
    <row r="426" spans="2:14" ht="18.95" customHeight="1" x14ac:dyDescent="0.2">
      <c r="B426" s="145" t="s">
        <v>236</v>
      </c>
      <c r="C426" s="145" t="s">
        <v>311</v>
      </c>
      <c r="D426" s="146">
        <v>2500</v>
      </c>
      <c r="E426" s="146">
        <v>2500</v>
      </c>
      <c r="F426" s="147">
        <v>2600</v>
      </c>
      <c r="G426" s="146">
        <v>2800</v>
      </c>
      <c r="H426" s="188">
        <f t="shared" si="71"/>
        <v>7.6923076923076927E-2</v>
      </c>
    </row>
    <row r="427" spans="2:14" ht="18.95" customHeight="1" thickBot="1" x14ac:dyDescent="0.25">
      <c r="B427" s="145" t="s">
        <v>241</v>
      </c>
      <c r="C427" s="145" t="s">
        <v>612</v>
      </c>
      <c r="D427" s="149">
        <v>5000</v>
      </c>
      <c r="E427" s="149">
        <v>4500</v>
      </c>
      <c r="F427" s="240">
        <v>5500</v>
      </c>
      <c r="G427" s="141">
        <v>6000</v>
      </c>
      <c r="H427" s="188">
        <f t="shared" ref="H427:H459" si="77">(G427-F427)/F427</f>
        <v>9.0909090909090912E-2</v>
      </c>
    </row>
    <row r="428" spans="2:14" ht="18.95" customHeight="1" thickTop="1" thickBot="1" x14ac:dyDescent="0.3">
      <c r="B428" s="140"/>
      <c r="C428" s="150" t="s">
        <v>592</v>
      </c>
      <c r="D428" s="183">
        <f t="shared" ref="D428:F428" si="78">SUM(D424:D427)</f>
        <v>18000</v>
      </c>
      <c r="E428" s="183">
        <f t="shared" si="78"/>
        <v>16802.5</v>
      </c>
      <c r="F428" s="183">
        <f t="shared" si="78"/>
        <v>18600</v>
      </c>
      <c r="G428" s="183">
        <f>SUM(G424:G427)</f>
        <v>21300</v>
      </c>
      <c r="H428" s="262">
        <f t="shared" si="77"/>
        <v>0.14516129032258066</v>
      </c>
    </row>
    <row r="429" spans="2:14" ht="18.95" customHeight="1" thickTop="1" x14ac:dyDescent="0.25">
      <c r="B429" s="140" t="s">
        <v>606</v>
      </c>
      <c r="D429" s="155"/>
      <c r="E429" s="155"/>
      <c r="F429" s="243"/>
    </row>
    <row r="430" spans="2:14" ht="18.95" customHeight="1" x14ac:dyDescent="0.2">
      <c r="B430" s="145" t="s">
        <v>214</v>
      </c>
      <c r="C430" s="145" t="s">
        <v>303</v>
      </c>
      <c r="D430" s="141">
        <v>600</v>
      </c>
      <c r="E430" s="141">
        <v>0</v>
      </c>
      <c r="F430" s="142">
        <v>500</v>
      </c>
      <c r="G430" s="141">
        <v>1000</v>
      </c>
      <c r="H430" s="188">
        <f t="shared" si="77"/>
        <v>1</v>
      </c>
    </row>
    <row r="431" spans="2:14" ht="18.95" customHeight="1" x14ac:dyDescent="0.2">
      <c r="B431" s="145" t="s">
        <v>233</v>
      </c>
      <c r="C431" s="145" t="s">
        <v>806</v>
      </c>
      <c r="D431" s="146">
        <v>7000</v>
      </c>
      <c r="E431" s="146">
        <v>6296.02</v>
      </c>
      <c r="F431" s="147">
        <v>7000</v>
      </c>
      <c r="G431" s="146">
        <v>9000</v>
      </c>
      <c r="H431" s="188">
        <f t="shared" si="77"/>
        <v>0.2857142857142857</v>
      </c>
    </row>
    <row r="432" spans="2:14" ht="18.95" customHeight="1" x14ac:dyDescent="0.2">
      <c r="B432" s="145" t="s">
        <v>243</v>
      </c>
      <c r="C432" s="145" t="s">
        <v>313</v>
      </c>
      <c r="D432" s="172">
        <v>4500</v>
      </c>
      <c r="E432" s="172">
        <v>186.56</v>
      </c>
      <c r="F432" s="252">
        <v>4500</v>
      </c>
      <c r="G432" s="146">
        <v>4000</v>
      </c>
      <c r="H432" s="188">
        <f t="shared" si="77"/>
        <v>-0.1111111111111111</v>
      </c>
    </row>
    <row r="433" spans="2:8" ht="18.95" customHeight="1" x14ac:dyDescent="0.2">
      <c r="B433" s="145" t="s">
        <v>244</v>
      </c>
      <c r="C433" s="145" t="s">
        <v>613</v>
      </c>
      <c r="D433" s="172">
        <v>0</v>
      </c>
      <c r="E433" s="172">
        <v>9200</v>
      </c>
      <c r="F433" s="252">
        <v>0</v>
      </c>
      <c r="G433" s="146">
        <v>0</v>
      </c>
      <c r="H433" s="188">
        <v>0</v>
      </c>
    </row>
    <row r="434" spans="2:8" ht="18.95" customHeight="1" x14ac:dyDescent="0.2">
      <c r="B434" s="145" t="s">
        <v>220</v>
      </c>
      <c r="C434" s="145" t="s">
        <v>305</v>
      </c>
      <c r="D434" s="146">
        <v>500</v>
      </c>
      <c r="E434" s="146">
        <v>327.56</v>
      </c>
      <c r="F434" s="147">
        <v>500</v>
      </c>
      <c r="G434" s="146">
        <v>500</v>
      </c>
      <c r="H434" s="188">
        <f t="shared" si="77"/>
        <v>0</v>
      </c>
    </row>
    <row r="435" spans="2:8" ht="18.95" customHeight="1" x14ac:dyDescent="0.2">
      <c r="B435" s="145" t="s">
        <v>234</v>
      </c>
      <c r="C435" s="145" t="s">
        <v>310</v>
      </c>
      <c r="D435" s="146">
        <v>10000</v>
      </c>
      <c r="E435" s="146">
        <v>7957.09</v>
      </c>
      <c r="F435" s="147">
        <v>10000</v>
      </c>
      <c r="G435" s="146">
        <v>11000</v>
      </c>
      <c r="H435" s="188">
        <f t="shared" si="77"/>
        <v>0.1</v>
      </c>
    </row>
    <row r="436" spans="2:8" ht="18.95" customHeight="1" x14ac:dyDescent="0.2">
      <c r="B436" s="145" t="s">
        <v>228</v>
      </c>
      <c r="C436" s="145" t="s">
        <v>306</v>
      </c>
      <c r="D436" s="146">
        <v>1000</v>
      </c>
      <c r="E436" s="146">
        <v>270.83</v>
      </c>
      <c r="F436" s="147">
        <v>1000</v>
      </c>
      <c r="G436" s="146">
        <v>1000</v>
      </c>
      <c r="H436" s="188">
        <f t="shared" si="77"/>
        <v>0</v>
      </c>
    </row>
    <row r="437" spans="2:8" ht="18.95" customHeight="1" x14ac:dyDescent="0.2">
      <c r="B437" s="145" t="s">
        <v>229</v>
      </c>
      <c r="C437" s="145" t="s">
        <v>307</v>
      </c>
      <c r="D437" s="146">
        <v>9000</v>
      </c>
      <c r="E437" s="146">
        <v>7940.94</v>
      </c>
      <c r="F437" s="147">
        <v>10000</v>
      </c>
      <c r="G437" s="146">
        <v>11000</v>
      </c>
      <c r="H437" s="188">
        <f t="shared" si="77"/>
        <v>0.1</v>
      </c>
    </row>
    <row r="438" spans="2:8" ht="18.95" customHeight="1" x14ac:dyDescent="0.2">
      <c r="B438" s="145" t="s">
        <v>215</v>
      </c>
      <c r="C438" s="145" t="s">
        <v>631</v>
      </c>
      <c r="D438" s="146">
        <v>300</v>
      </c>
      <c r="E438" s="146">
        <v>278.18</v>
      </c>
      <c r="F438" s="147">
        <v>500</v>
      </c>
      <c r="G438" s="146">
        <v>500</v>
      </c>
      <c r="H438" s="188">
        <f t="shared" si="77"/>
        <v>0</v>
      </c>
    </row>
    <row r="439" spans="2:8" ht="18.95" customHeight="1" x14ac:dyDescent="0.2">
      <c r="B439" s="145" t="s">
        <v>218</v>
      </c>
      <c r="C439" s="145" t="s">
        <v>327</v>
      </c>
      <c r="D439" s="146">
        <v>15000</v>
      </c>
      <c r="E439" s="146">
        <v>19514.37</v>
      </c>
      <c r="F439" s="147">
        <v>16000</v>
      </c>
      <c r="G439" s="146">
        <v>18000</v>
      </c>
      <c r="H439" s="188">
        <f t="shared" si="77"/>
        <v>0.125</v>
      </c>
    </row>
    <row r="440" spans="2:8" ht="18.95" customHeight="1" x14ac:dyDescent="0.2">
      <c r="B440" s="145" t="s">
        <v>223</v>
      </c>
      <c r="C440" s="145" t="s">
        <v>328</v>
      </c>
      <c r="D440" s="146">
        <v>1000</v>
      </c>
      <c r="E440" s="146">
        <v>65.069999999999993</v>
      </c>
      <c r="F440" s="147">
        <v>1000</v>
      </c>
      <c r="G440" s="146">
        <v>1000</v>
      </c>
      <c r="H440" s="188">
        <f t="shared" si="77"/>
        <v>0</v>
      </c>
    </row>
    <row r="441" spans="2:8" ht="18.95" customHeight="1" x14ac:dyDescent="0.2">
      <c r="B441" s="145" t="s">
        <v>219</v>
      </c>
      <c r="C441" s="145" t="s">
        <v>323</v>
      </c>
      <c r="D441" s="146">
        <v>500</v>
      </c>
      <c r="E441" s="146">
        <v>795.1</v>
      </c>
      <c r="F441" s="147">
        <v>750</v>
      </c>
      <c r="G441" s="146">
        <v>1000</v>
      </c>
      <c r="H441" s="188">
        <f t="shared" si="77"/>
        <v>0.33333333333333331</v>
      </c>
    </row>
    <row r="442" spans="2:8" ht="18.95" customHeight="1" x14ac:dyDescent="0.2">
      <c r="B442" s="145" t="s">
        <v>221</v>
      </c>
      <c r="C442" s="145" t="s">
        <v>321</v>
      </c>
      <c r="D442" s="146">
        <v>1000</v>
      </c>
      <c r="E442" s="146">
        <v>0</v>
      </c>
      <c r="F442" s="147">
        <v>1500</v>
      </c>
      <c r="G442" s="146">
        <v>1500</v>
      </c>
      <c r="H442" s="188">
        <f t="shared" si="77"/>
        <v>0</v>
      </c>
    </row>
    <row r="443" spans="2:8" ht="18.95" customHeight="1" x14ac:dyDescent="0.2">
      <c r="B443" s="145" t="s">
        <v>222</v>
      </c>
      <c r="C443" s="145" t="s">
        <v>322</v>
      </c>
      <c r="D443" s="146">
        <v>500</v>
      </c>
      <c r="E443" s="146">
        <v>332.38</v>
      </c>
      <c r="F443" s="147">
        <v>750</v>
      </c>
      <c r="G443" s="146">
        <v>1000</v>
      </c>
      <c r="H443" s="188">
        <f t="shared" si="77"/>
        <v>0.33333333333333331</v>
      </c>
    </row>
    <row r="444" spans="2:8" ht="18.95" customHeight="1" x14ac:dyDescent="0.2">
      <c r="B444" s="145" t="s">
        <v>224</v>
      </c>
      <c r="C444" s="145" t="s">
        <v>479</v>
      </c>
      <c r="D444" s="146">
        <v>500</v>
      </c>
      <c r="E444" s="146">
        <v>201.52</v>
      </c>
      <c r="F444" s="147">
        <v>250</v>
      </c>
      <c r="G444" s="146">
        <v>250</v>
      </c>
      <c r="H444" s="188">
        <f t="shared" si="77"/>
        <v>0</v>
      </c>
    </row>
    <row r="445" spans="2:8" ht="18.95" customHeight="1" x14ac:dyDescent="0.2">
      <c r="B445" s="145" t="s">
        <v>225</v>
      </c>
      <c r="C445" s="145" t="s">
        <v>324</v>
      </c>
      <c r="D445" s="146">
        <v>1000</v>
      </c>
      <c r="E445" s="146">
        <v>350.92</v>
      </c>
      <c r="F445" s="147">
        <v>1000</v>
      </c>
      <c r="G445" s="146">
        <v>1000</v>
      </c>
      <c r="H445" s="188">
        <f t="shared" si="77"/>
        <v>0</v>
      </c>
    </row>
    <row r="446" spans="2:8" ht="18.95" customHeight="1" x14ac:dyDescent="0.2">
      <c r="B446" s="145" t="s">
        <v>226</v>
      </c>
      <c r="C446" s="145" t="s">
        <v>326</v>
      </c>
      <c r="D446" s="146">
        <v>500</v>
      </c>
      <c r="E446" s="146">
        <v>0</v>
      </c>
      <c r="F446" s="147">
        <v>500</v>
      </c>
      <c r="G446" s="146">
        <v>500</v>
      </c>
      <c r="H446" s="188">
        <f t="shared" si="77"/>
        <v>0</v>
      </c>
    </row>
    <row r="447" spans="2:8" ht="18.95" customHeight="1" x14ac:dyDescent="0.2">
      <c r="B447" s="145" t="s">
        <v>227</v>
      </c>
      <c r="C447" s="145" t="s">
        <v>325</v>
      </c>
      <c r="D447" s="146">
        <v>1500</v>
      </c>
      <c r="E447" s="146">
        <v>404.95</v>
      </c>
      <c r="F447" s="147">
        <v>2000</v>
      </c>
      <c r="G447" s="146">
        <v>2000</v>
      </c>
      <c r="H447" s="188">
        <f t="shared" si="77"/>
        <v>0</v>
      </c>
    </row>
    <row r="448" spans="2:8" ht="18.95" customHeight="1" thickBot="1" x14ac:dyDescent="0.25">
      <c r="B448" s="145" t="s">
        <v>230</v>
      </c>
      <c r="C448" s="145" t="s">
        <v>807</v>
      </c>
      <c r="D448" s="149">
        <v>1000</v>
      </c>
      <c r="E448" s="149">
        <v>1176.83</v>
      </c>
      <c r="F448" s="240">
        <v>1000</v>
      </c>
      <c r="G448" s="141">
        <v>1500</v>
      </c>
      <c r="H448" s="188">
        <f t="shared" si="77"/>
        <v>0.5</v>
      </c>
    </row>
    <row r="449" spans="2:8" ht="18.95" customHeight="1" thickTop="1" thickBot="1" x14ac:dyDescent="0.3">
      <c r="C449" s="150" t="s">
        <v>592</v>
      </c>
      <c r="D449" s="183">
        <f t="shared" ref="D449:F449" si="79">SUM(D430:D448)</f>
        <v>55400</v>
      </c>
      <c r="E449" s="183">
        <f t="shared" si="79"/>
        <v>55298.319999999992</v>
      </c>
      <c r="F449" s="183">
        <f t="shared" si="79"/>
        <v>58750</v>
      </c>
      <c r="G449" s="183">
        <f>SUM(G430:G448)</f>
        <v>65750</v>
      </c>
      <c r="H449" s="262">
        <f t="shared" si="77"/>
        <v>0.11914893617021277</v>
      </c>
    </row>
    <row r="450" spans="2:8" ht="18.95" customHeight="1" thickTop="1" x14ac:dyDescent="0.25">
      <c r="B450" s="140" t="s">
        <v>583</v>
      </c>
      <c r="D450" s="155"/>
      <c r="E450" s="155"/>
      <c r="F450" s="243"/>
    </row>
    <row r="451" spans="2:8" ht="18.95" customHeight="1" x14ac:dyDescent="0.2">
      <c r="B451" s="145" t="s">
        <v>212</v>
      </c>
      <c r="C451" s="145" t="s">
        <v>267</v>
      </c>
      <c r="D451" s="141">
        <v>8000</v>
      </c>
      <c r="E451" s="141">
        <v>7840.11</v>
      </c>
      <c r="F451" s="142">
        <v>10000</v>
      </c>
      <c r="G451" s="141">
        <v>10000</v>
      </c>
      <c r="H451" s="188">
        <f t="shared" si="77"/>
        <v>0</v>
      </c>
    </row>
    <row r="452" spans="2:8" ht="18.95" customHeight="1" x14ac:dyDescent="0.2">
      <c r="B452" s="145" t="s">
        <v>238</v>
      </c>
      <c r="C452" s="145" t="s">
        <v>637</v>
      </c>
      <c r="D452" s="146">
        <v>2000</v>
      </c>
      <c r="E452" s="146">
        <v>3607.48</v>
      </c>
      <c r="F452" s="147">
        <v>5000</v>
      </c>
      <c r="G452" s="146">
        <v>4000</v>
      </c>
      <c r="H452" s="188">
        <f t="shared" si="77"/>
        <v>-0.2</v>
      </c>
    </row>
    <row r="453" spans="2:8" ht="18.95" customHeight="1" x14ac:dyDescent="0.2">
      <c r="B453" s="145" t="s">
        <v>242</v>
      </c>
      <c r="C453" s="145" t="s">
        <v>840</v>
      </c>
      <c r="D453" s="146">
        <v>28400</v>
      </c>
      <c r="E453" s="146">
        <v>965.66</v>
      </c>
      <c r="F453" s="147">
        <v>30000</v>
      </c>
      <c r="G453" s="146">
        <v>1000</v>
      </c>
      <c r="H453" s="188">
        <f t="shared" si="77"/>
        <v>-0.96666666666666667</v>
      </c>
    </row>
    <row r="454" spans="2:8" ht="18.95" customHeight="1" x14ac:dyDescent="0.2">
      <c r="B454" s="145" t="s">
        <v>457</v>
      </c>
      <c r="C454" s="145" t="s">
        <v>456</v>
      </c>
      <c r="D454" s="172">
        <v>10000</v>
      </c>
      <c r="E454" s="172">
        <v>7086.75</v>
      </c>
      <c r="F454" s="252">
        <v>10000</v>
      </c>
      <c r="G454" s="146">
        <v>10000</v>
      </c>
      <c r="H454" s="188">
        <f t="shared" si="77"/>
        <v>0</v>
      </c>
    </row>
    <row r="455" spans="2:8" ht="18.95" customHeight="1" x14ac:dyDescent="0.2">
      <c r="B455" s="145" t="s">
        <v>245</v>
      </c>
      <c r="C455" s="145" t="s">
        <v>314</v>
      </c>
      <c r="D455" s="146">
        <v>7500</v>
      </c>
      <c r="E455" s="146">
        <v>6197.88</v>
      </c>
      <c r="F455" s="147">
        <v>10000</v>
      </c>
      <c r="G455" s="146">
        <v>10000</v>
      </c>
      <c r="H455" s="188">
        <f t="shared" si="77"/>
        <v>0</v>
      </c>
    </row>
    <row r="456" spans="2:8" ht="18.95" customHeight="1" x14ac:dyDescent="0.2">
      <c r="B456" s="145" t="s">
        <v>246</v>
      </c>
      <c r="C456" s="145" t="s">
        <v>841</v>
      </c>
      <c r="D456" s="146">
        <v>120000</v>
      </c>
      <c r="E456" s="146">
        <v>124483.83</v>
      </c>
      <c r="F456" s="147">
        <v>120000</v>
      </c>
      <c r="G456" s="146">
        <v>130000</v>
      </c>
      <c r="H456" s="188">
        <f t="shared" si="77"/>
        <v>8.3333333333333329E-2</v>
      </c>
    </row>
    <row r="457" spans="2:8" ht="18.95" customHeight="1" x14ac:dyDescent="0.2">
      <c r="B457" s="145" t="s">
        <v>249</v>
      </c>
      <c r="C457" s="145" t="s">
        <v>614</v>
      </c>
      <c r="D457" s="146">
        <v>295000</v>
      </c>
      <c r="E457" s="146">
        <v>295813</v>
      </c>
      <c r="F457" s="147">
        <v>300000</v>
      </c>
      <c r="G457" s="146">
        <v>300000</v>
      </c>
      <c r="H457" s="188">
        <f t="shared" si="77"/>
        <v>0</v>
      </c>
    </row>
    <row r="458" spans="2:8" ht="18.95" customHeight="1" thickBot="1" x14ac:dyDescent="0.25">
      <c r="B458" s="145" t="s">
        <v>250</v>
      </c>
      <c r="C458" s="145" t="s">
        <v>842</v>
      </c>
      <c r="D458" s="149">
        <v>140000</v>
      </c>
      <c r="E458" s="149">
        <v>85029.19</v>
      </c>
      <c r="F458" s="240">
        <v>140000</v>
      </c>
      <c r="G458" s="141">
        <v>140000</v>
      </c>
      <c r="H458" s="188">
        <f t="shared" si="77"/>
        <v>0</v>
      </c>
    </row>
    <row r="459" spans="2:8" ht="18.95" customHeight="1" thickTop="1" thickBot="1" x14ac:dyDescent="0.3">
      <c r="C459" s="150" t="s">
        <v>592</v>
      </c>
      <c r="D459" s="183">
        <f t="shared" ref="D459:F459" si="80">SUM(D451:D458)</f>
        <v>610900</v>
      </c>
      <c r="E459" s="183">
        <f t="shared" si="80"/>
        <v>531023.89999999991</v>
      </c>
      <c r="F459" s="183">
        <f t="shared" si="80"/>
        <v>625000</v>
      </c>
      <c r="G459" s="183">
        <f>SUM(G451:G458)</f>
        <v>605000</v>
      </c>
      <c r="H459" s="261">
        <f t="shared" si="77"/>
        <v>-3.2000000000000001E-2</v>
      </c>
    </row>
    <row r="460" spans="2:8" ht="18.95" customHeight="1" thickTop="1" x14ac:dyDescent="0.25">
      <c r="B460" s="140" t="s">
        <v>584</v>
      </c>
      <c r="D460" s="155"/>
      <c r="E460" s="155"/>
      <c r="F460" s="243"/>
    </row>
    <row r="461" spans="2:8" ht="18.95" customHeight="1" x14ac:dyDescent="0.2">
      <c r="B461" s="145" t="s">
        <v>251</v>
      </c>
      <c r="C461" s="145" t="s">
        <v>615</v>
      </c>
      <c r="D461" s="141">
        <v>43200</v>
      </c>
      <c r="E461" s="141">
        <v>43200</v>
      </c>
      <c r="F461" s="142">
        <v>43200</v>
      </c>
      <c r="G461" s="141">
        <v>43200</v>
      </c>
      <c r="H461" s="188">
        <f t="shared" ref="H461:H467" si="81">(G461-F461)/F461</f>
        <v>0</v>
      </c>
    </row>
    <row r="462" spans="2:8" ht="18.95" customHeight="1" x14ac:dyDescent="0.2">
      <c r="B462" s="145" t="s">
        <v>252</v>
      </c>
      <c r="C462" s="145" t="s">
        <v>616</v>
      </c>
      <c r="D462" s="146">
        <v>14068</v>
      </c>
      <c r="E462" s="146">
        <v>14068.42</v>
      </c>
      <c r="F462" s="147">
        <v>12312</v>
      </c>
      <c r="G462" s="146">
        <v>10502.88</v>
      </c>
      <c r="H462" s="188">
        <f t="shared" si="81"/>
        <v>-0.14693957115009754</v>
      </c>
    </row>
    <row r="463" spans="2:8" ht="18.95" customHeight="1" x14ac:dyDescent="0.2">
      <c r="B463" s="145" t="s">
        <v>253</v>
      </c>
      <c r="C463" s="145" t="s">
        <v>617</v>
      </c>
      <c r="D463" s="146">
        <v>7046</v>
      </c>
      <c r="E463" s="146">
        <v>7046.27</v>
      </c>
      <c r="F463" s="147">
        <v>6134.2</v>
      </c>
      <c r="G463" s="146">
        <v>6256.88</v>
      </c>
      <c r="H463" s="188">
        <f t="shared" si="81"/>
        <v>1.9999347918228993E-2</v>
      </c>
    </row>
    <row r="464" spans="2:8" ht="18.95" customHeight="1" x14ac:dyDescent="0.2">
      <c r="C464" s="145" t="s">
        <v>857</v>
      </c>
      <c r="D464" s="146">
        <v>0</v>
      </c>
      <c r="E464" s="146">
        <v>0</v>
      </c>
      <c r="F464" s="147">
        <v>912.06</v>
      </c>
      <c r="G464" s="146">
        <v>789.38</v>
      </c>
      <c r="H464" s="188">
        <f t="shared" si="81"/>
        <v>-0.13450869460342516</v>
      </c>
    </row>
    <row r="465" spans="1:13" ht="18.95" customHeight="1" x14ac:dyDescent="0.2">
      <c r="B465" s="145" t="s">
        <v>494</v>
      </c>
      <c r="C465" s="145" t="s">
        <v>618</v>
      </c>
      <c r="D465" s="173">
        <v>1920</v>
      </c>
      <c r="E465" s="173">
        <v>1920</v>
      </c>
      <c r="F465" s="147">
        <v>0</v>
      </c>
      <c r="G465" s="146">
        <v>0</v>
      </c>
      <c r="H465" s="188">
        <v>0</v>
      </c>
    </row>
    <row r="466" spans="1:13" ht="18.95" customHeight="1" thickBot="1" x14ac:dyDescent="0.25">
      <c r="B466" s="145" t="s">
        <v>254</v>
      </c>
      <c r="C466" s="145" t="s">
        <v>407</v>
      </c>
      <c r="D466" s="174">
        <v>37</v>
      </c>
      <c r="E466" s="174">
        <v>120.03</v>
      </c>
      <c r="F466" s="240">
        <v>0</v>
      </c>
      <c r="G466" s="141">
        <v>0</v>
      </c>
      <c r="H466" s="188">
        <v>0</v>
      </c>
    </row>
    <row r="467" spans="1:13" ht="18.95" customHeight="1" thickTop="1" thickBot="1" x14ac:dyDescent="0.3">
      <c r="C467" s="150" t="s">
        <v>592</v>
      </c>
      <c r="D467" s="184">
        <f>SUM(D461:D466)</f>
        <v>66271</v>
      </c>
      <c r="E467" s="184">
        <f>SUM(E461:E466)</f>
        <v>66354.720000000001</v>
      </c>
      <c r="F467" s="184">
        <f>SUM(F461:F466)</f>
        <v>62558.259999999995</v>
      </c>
      <c r="G467" s="184">
        <f>SUM(G461:G466)</f>
        <v>60749.139999999992</v>
      </c>
      <c r="H467" s="261">
        <f t="shared" si="81"/>
        <v>-2.8918962899543606E-2</v>
      </c>
    </row>
    <row r="468" spans="1:13" ht="18.95" customHeight="1" thickTop="1" x14ac:dyDescent="0.25">
      <c r="B468" s="140" t="s">
        <v>585</v>
      </c>
      <c r="D468" s="155"/>
      <c r="E468" s="155"/>
      <c r="F468" s="243"/>
    </row>
    <row r="469" spans="1:13" ht="18.95" customHeight="1" x14ac:dyDescent="0.2">
      <c r="B469" s="145" t="s">
        <v>255</v>
      </c>
      <c r="C469" s="145" t="s">
        <v>742</v>
      </c>
      <c r="D469" s="141">
        <v>218000</v>
      </c>
      <c r="E469" s="141">
        <v>218000</v>
      </c>
      <c r="F469" s="142">
        <v>175000</v>
      </c>
      <c r="G469" s="141">
        <v>575000</v>
      </c>
      <c r="H469" s="188">
        <f t="shared" ref="H469:H478" si="82">(G469-F469)/F469</f>
        <v>2.2857142857142856</v>
      </c>
    </row>
    <row r="470" spans="1:13" ht="18.95" customHeight="1" x14ac:dyDescent="0.2">
      <c r="B470" s="145" t="s">
        <v>256</v>
      </c>
      <c r="C470" s="145" t="s">
        <v>843</v>
      </c>
      <c r="D470" s="146">
        <v>55000</v>
      </c>
      <c r="E470" s="146">
        <v>55000</v>
      </c>
      <c r="F470" s="147">
        <v>0</v>
      </c>
      <c r="G470" s="337">
        <v>160000</v>
      </c>
      <c r="H470" s="188">
        <v>1</v>
      </c>
    </row>
    <row r="471" spans="1:13" ht="18.95" customHeight="1" x14ac:dyDescent="0.2">
      <c r="B471" s="145" t="s">
        <v>257</v>
      </c>
      <c r="C471" s="145" t="s">
        <v>738</v>
      </c>
      <c r="D471" s="146">
        <v>11000</v>
      </c>
      <c r="E471" s="146">
        <v>11000</v>
      </c>
      <c r="F471" s="147">
        <v>10000</v>
      </c>
      <c r="G471" s="146">
        <v>10000</v>
      </c>
      <c r="H471" s="188">
        <f t="shared" si="82"/>
        <v>0</v>
      </c>
    </row>
    <row r="472" spans="1:13" ht="18.95" customHeight="1" x14ac:dyDescent="0.2">
      <c r="B472" s="145" t="s">
        <v>258</v>
      </c>
      <c r="C472" s="145" t="s">
        <v>739</v>
      </c>
      <c r="D472" s="146">
        <v>0</v>
      </c>
      <c r="E472" s="146">
        <v>0</v>
      </c>
      <c r="F472" s="147">
        <v>0</v>
      </c>
      <c r="G472" s="146">
        <v>0</v>
      </c>
      <c r="H472" s="188">
        <v>0</v>
      </c>
    </row>
    <row r="473" spans="1:13" ht="18.95" customHeight="1" thickBot="1" x14ac:dyDescent="0.25">
      <c r="B473" s="145" t="s">
        <v>513</v>
      </c>
      <c r="C473" s="145" t="s">
        <v>740</v>
      </c>
      <c r="D473" s="149">
        <v>25000</v>
      </c>
      <c r="E473" s="149">
        <v>25000</v>
      </c>
      <c r="F473" s="240">
        <v>0</v>
      </c>
      <c r="G473" s="141">
        <v>0</v>
      </c>
      <c r="H473" s="188">
        <v>0</v>
      </c>
    </row>
    <row r="474" spans="1:13" ht="18.95" customHeight="1" thickTop="1" thickBot="1" x14ac:dyDescent="0.3">
      <c r="C474" s="150" t="s">
        <v>592</v>
      </c>
      <c r="D474" s="176">
        <f t="shared" ref="D474:F474" si="83">SUM(D469:D473)</f>
        <v>309000</v>
      </c>
      <c r="E474" s="176">
        <f t="shared" si="83"/>
        <v>309000</v>
      </c>
      <c r="F474" s="176">
        <f t="shared" si="83"/>
        <v>185000</v>
      </c>
      <c r="G474" s="176">
        <f>SUM(G469:G473)</f>
        <v>745000</v>
      </c>
      <c r="H474" s="262">
        <f t="shared" si="82"/>
        <v>3.0270270270270272</v>
      </c>
    </row>
    <row r="475" spans="1:13" ht="18.95" customHeight="1" thickTop="1" thickBot="1" x14ac:dyDescent="0.3">
      <c r="C475" s="150"/>
      <c r="D475" s="175"/>
      <c r="E475" s="175"/>
      <c r="F475" s="175"/>
    </row>
    <row r="476" spans="1:13" ht="18.75" customHeight="1" thickTop="1" thickBot="1" x14ac:dyDescent="0.3">
      <c r="A476" s="178" t="s">
        <v>772</v>
      </c>
      <c r="B476" s="187"/>
      <c r="C476" s="187"/>
      <c r="D476" s="181">
        <f>SUM(D474,D467,D459,D449,D428,D422,D413,D403,D399,D394)</f>
        <v>1965945.2</v>
      </c>
      <c r="E476" s="181">
        <f>SUM(E474,E467,E459,E449,E428,E422,E413,E403,E399,E394)</f>
        <v>1912395.94</v>
      </c>
      <c r="F476" s="181">
        <f>SUM(F474,F467,F459,F449,F428,F422,F413,F403,F399,F394)</f>
        <v>1920206.524</v>
      </c>
      <c r="G476" s="181">
        <f>SUM(G474,G467,G459,G449,G428,G422,G413,G403,G399,G394)</f>
        <v>2521800.5833999999</v>
      </c>
      <c r="H476" s="264">
        <f t="shared" si="82"/>
        <v>0.3132965396590851</v>
      </c>
      <c r="K476" s="144"/>
      <c r="M476" s="145"/>
    </row>
    <row r="477" spans="1:13" ht="18.95" customHeight="1" thickTop="1" thickBot="1" x14ac:dyDescent="0.25"/>
    <row r="478" spans="1:13" ht="18.95" customHeight="1" thickTop="1" thickBot="1" x14ac:dyDescent="0.3">
      <c r="A478" s="185" t="s">
        <v>773</v>
      </c>
      <c r="B478" s="185"/>
      <c r="C478" s="185"/>
      <c r="D478" s="186">
        <f>D380+D476</f>
        <v>4915898.05</v>
      </c>
      <c r="E478" s="186">
        <f>E380+E476</f>
        <v>4697606.7510000002</v>
      </c>
      <c r="F478" s="186">
        <f>F380+F476</f>
        <v>4970211.9875999996</v>
      </c>
      <c r="G478" s="186">
        <f>G380+G476</f>
        <v>5955968.8552639997</v>
      </c>
      <c r="H478" s="266">
        <f t="shared" si="82"/>
        <v>0.19833296248194823</v>
      </c>
    </row>
    <row r="479" spans="1:13" ht="18.95" customHeight="1" thickTop="1" x14ac:dyDescent="0.2"/>
  </sheetData>
  <sheetProtection selectLockedCells="1"/>
  <phoneticPr fontId="3" type="noConversion"/>
  <pageMargins left="0.25" right="0.25" top="1" bottom="0.5" header="0.5" footer="0.5"/>
  <pageSetup scale="57" fitToHeight="0" orientation="portrait" r:id="rId1"/>
  <headerFooter alignWithMargins="0">
    <oddHeader xml:space="preserve">&amp;CTown of Richmond
FY27 Budget Expenses 
12/15/25
</oddHeader>
  </headerFooter>
  <rowBreaks count="11" manualBreakCount="11">
    <brk id="54" max="7" man="1"/>
    <brk id="78" max="16383" man="1"/>
    <brk id="84" max="16383" man="1"/>
    <brk id="127" max="16383" man="1"/>
    <brk id="177" max="7" man="1"/>
    <brk id="195" max="16383" man="1"/>
    <brk id="247" max="16383" man="1"/>
    <brk id="307" max="16383" man="1"/>
    <brk id="355" max="16383" man="1"/>
    <brk id="381" max="16383" man="1"/>
    <brk id="428" max="7" man="1"/>
  </rowBreaks>
  <ignoredErrors>
    <ignoredError sqref="F13" formulaRange="1"/>
    <ignoredError sqref="D478:F478 D474:F47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E368-190B-49EE-8856-C76F0FDD1C25}">
  <sheetPr>
    <pageSetUpPr fitToPage="1"/>
  </sheetPr>
  <dimension ref="A1:S277"/>
  <sheetViews>
    <sheetView view="pageBreakPreview" zoomScale="115" zoomScaleNormal="100" zoomScaleSheetLayoutView="115" workbookViewId="0">
      <pane xSplit="2" ySplit="2" topLeftCell="J3" activePane="bottomRight" state="frozen"/>
      <selection pane="topRight" activeCell="B1" sqref="B1"/>
      <selection pane="bottomLeft" activeCell="A3" sqref="A3"/>
      <selection pane="bottomRight" activeCell="M16" sqref="M16"/>
    </sheetView>
  </sheetViews>
  <sheetFormatPr defaultColWidth="8.85546875" defaultRowHeight="12.75" x14ac:dyDescent="0.2"/>
  <cols>
    <col min="1" max="1" width="14.28515625" style="8" customWidth="1"/>
    <col min="2" max="2" width="64" style="8" customWidth="1"/>
    <col min="3" max="3" width="16.140625" style="68" customWidth="1"/>
    <col min="4" max="4" width="16.28515625" style="68" customWidth="1"/>
    <col min="5" max="5" width="17.28515625" style="132" customWidth="1"/>
    <col min="6" max="6" width="17.28515625" style="201" customWidth="1"/>
    <col min="7" max="7" width="17.28515625" style="272" customWidth="1"/>
    <col min="8" max="8" width="22.5703125" style="8" customWidth="1"/>
    <col min="9" max="9" width="15.5703125" style="8" customWidth="1"/>
    <col min="10" max="10" width="27.5703125" style="8" customWidth="1"/>
    <col min="11" max="11" width="22.85546875" style="8" customWidth="1"/>
    <col min="12" max="12" width="27.28515625" style="8" customWidth="1"/>
    <col min="13" max="13" width="29" style="8" customWidth="1"/>
    <col min="14" max="14" width="15.85546875" style="8" customWidth="1"/>
    <col min="15" max="15" width="3" style="8" customWidth="1"/>
    <col min="16" max="16" width="8.85546875" style="8"/>
    <col min="17" max="17" width="12.85546875" style="8" bestFit="1" customWidth="1"/>
    <col min="18" max="16384" width="8.85546875" style="8"/>
  </cols>
  <sheetData>
    <row r="1" spans="1:19" s="6" customFormat="1" ht="30" customHeight="1" thickBot="1" x14ac:dyDescent="0.25">
      <c r="A1" s="4" t="s">
        <v>31</v>
      </c>
      <c r="B1" s="4" t="s">
        <v>6</v>
      </c>
      <c r="C1" s="67" t="s">
        <v>463</v>
      </c>
      <c r="D1" s="67" t="s">
        <v>627</v>
      </c>
      <c r="E1" s="130" t="s">
        <v>518</v>
      </c>
      <c r="F1" s="289" t="s">
        <v>630</v>
      </c>
      <c r="G1" s="5" t="s">
        <v>639</v>
      </c>
      <c r="H1"/>
      <c r="I1"/>
      <c r="J1"/>
      <c r="K1"/>
      <c r="L1"/>
      <c r="M1"/>
      <c r="N1"/>
    </row>
    <row r="2" spans="1:19" customFormat="1" ht="13.5" customHeight="1" thickBot="1" x14ac:dyDescent="0.25">
      <c r="A2" s="3"/>
      <c r="B2" s="3" t="s">
        <v>11</v>
      </c>
      <c r="C2" s="69"/>
      <c r="D2" s="69"/>
      <c r="E2" s="131"/>
      <c r="F2" s="290"/>
      <c r="G2" s="92"/>
      <c r="H2" s="323" t="s">
        <v>640</v>
      </c>
      <c r="I2" s="324"/>
      <c r="J2" s="324"/>
      <c r="K2" s="324"/>
      <c r="L2" s="324"/>
      <c r="M2" s="324"/>
      <c r="N2" s="325"/>
    </row>
    <row r="3" spans="1:19" customFormat="1" ht="16.5" customHeight="1" x14ac:dyDescent="0.25">
      <c r="A3" s="3" t="s">
        <v>352</v>
      </c>
      <c r="B3" s="3" t="s">
        <v>353</v>
      </c>
      <c r="C3" s="70">
        <v>2080526</v>
      </c>
      <c r="D3" s="70">
        <v>2082157.55</v>
      </c>
      <c r="E3" s="200">
        <v>2566166.9336000001</v>
      </c>
      <c r="F3" s="200">
        <f>'FY27 Expense'!G380-SUM('FY27 Revenue'!F4:F43)</f>
        <v>2569147.5126435999</v>
      </c>
      <c r="G3" s="269">
        <f>(F3-E3)/E3</f>
        <v>1.1614907060696984E-3</v>
      </c>
      <c r="H3" s="26"/>
      <c r="N3" s="35"/>
      <c r="O3" s="9"/>
    </row>
    <row r="4" spans="1:19" customFormat="1" x14ac:dyDescent="0.2">
      <c r="A4" s="3" t="s">
        <v>354</v>
      </c>
      <c r="B4" s="3" t="s">
        <v>365</v>
      </c>
      <c r="C4" s="68">
        <v>10000</v>
      </c>
      <c r="D4" s="68">
        <v>17268.89</v>
      </c>
      <c r="E4" s="201">
        <v>10000</v>
      </c>
      <c r="F4" s="201">
        <v>10000</v>
      </c>
      <c r="G4" s="269">
        <f t="shared" ref="G4:G50" si="0">(F4-E4)/E4</f>
        <v>0</v>
      </c>
      <c r="H4" s="27"/>
      <c r="I4" s="10"/>
      <c r="J4" s="49" t="s">
        <v>849</v>
      </c>
      <c r="K4" s="50" t="s">
        <v>4</v>
      </c>
      <c r="L4" s="50" t="s">
        <v>27</v>
      </c>
      <c r="M4" s="10"/>
      <c r="N4" s="36"/>
    </row>
    <row r="5" spans="1:19" customFormat="1" x14ac:dyDescent="0.2">
      <c r="A5" s="3" t="s">
        <v>355</v>
      </c>
      <c r="B5" s="3" t="s">
        <v>366</v>
      </c>
      <c r="C5" s="68">
        <v>10000</v>
      </c>
      <c r="D5" s="68">
        <v>10400.049999999999</v>
      </c>
      <c r="E5" s="201">
        <v>5000</v>
      </c>
      <c r="F5" s="201">
        <v>5000</v>
      </c>
      <c r="G5" s="269">
        <f t="shared" si="0"/>
        <v>0</v>
      </c>
      <c r="H5" s="51" t="s">
        <v>1</v>
      </c>
      <c r="I5" s="18"/>
      <c r="J5" s="10"/>
      <c r="K5" s="10"/>
      <c r="L5" s="10"/>
      <c r="M5" s="10"/>
      <c r="N5" s="36"/>
      <c r="O5" s="10"/>
    </row>
    <row r="6" spans="1:19" customFormat="1" x14ac:dyDescent="0.2">
      <c r="A6" s="3" t="s">
        <v>356</v>
      </c>
      <c r="B6" s="3" t="s">
        <v>367</v>
      </c>
      <c r="C6" s="68">
        <v>10000</v>
      </c>
      <c r="D6" s="68">
        <v>10587.64</v>
      </c>
      <c r="E6" s="201">
        <v>9000</v>
      </c>
      <c r="F6" s="201">
        <v>10000</v>
      </c>
      <c r="G6" s="269">
        <f t="shared" si="0"/>
        <v>0.1111111111111111</v>
      </c>
      <c r="H6" s="47" t="s">
        <v>529</v>
      </c>
      <c r="I6" s="48"/>
      <c r="J6" s="11">
        <v>8027181</v>
      </c>
      <c r="K6" s="11">
        <v>4358272</v>
      </c>
      <c r="L6" s="52">
        <v>0.54290000000000005</v>
      </c>
      <c r="M6" s="10" t="s">
        <v>3</v>
      </c>
      <c r="N6" s="36"/>
      <c r="O6" s="10"/>
    </row>
    <row r="7" spans="1:19" customFormat="1" ht="13.5" thickBot="1" x14ac:dyDescent="0.25">
      <c r="A7" s="3" t="s">
        <v>357</v>
      </c>
      <c r="B7" s="3" t="s">
        <v>368</v>
      </c>
      <c r="C7" s="68">
        <v>17081.78</v>
      </c>
      <c r="D7" s="68">
        <v>19612.97</v>
      </c>
      <c r="E7" s="201">
        <v>19860.53</v>
      </c>
      <c r="F7" s="201">
        <v>20500</v>
      </c>
      <c r="G7" s="269">
        <f t="shared" si="0"/>
        <v>3.2198032983007059E-2</v>
      </c>
      <c r="H7" s="27"/>
      <c r="I7" s="10"/>
      <c r="J7" s="53"/>
      <c r="K7" s="37"/>
      <c r="L7" s="54">
        <v>1.8E-3</v>
      </c>
      <c r="M7" s="38" t="s">
        <v>19</v>
      </c>
      <c r="N7" s="39"/>
      <c r="O7" s="10"/>
    </row>
    <row r="8" spans="1:19" customFormat="1" x14ac:dyDescent="0.2">
      <c r="A8" s="3" t="s">
        <v>358</v>
      </c>
      <c r="B8" s="3" t="s">
        <v>369</v>
      </c>
      <c r="C8" s="71">
        <v>5000</v>
      </c>
      <c r="D8" s="71">
        <v>4941.53</v>
      </c>
      <c r="E8" s="202">
        <v>5000</v>
      </c>
      <c r="F8" s="202">
        <v>5000</v>
      </c>
      <c r="G8" s="269">
        <f t="shared" si="0"/>
        <v>0</v>
      </c>
      <c r="H8" s="26"/>
      <c r="K8" s="15"/>
      <c r="L8" s="56">
        <f>SUM(L6:L7)</f>
        <v>0.54470000000000007</v>
      </c>
      <c r="M8" s="10" t="s">
        <v>642</v>
      </c>
      <c r="N8" s="36"/>
      <c r="O8" s="10"/>
    </row>
    <row r="9" spans="1:19" customFormat="1" x14ac:dyDescent="0.2">
      <c r="A9" s="3" t="s">
        <v>359</v>
      </c>
      <c r="B9" s="3" t="s">
        <v>370</v>
      </c>
      <c r="C9" s="72">
        <v>15000</v>
      </c>
      <c r="D9" s="72">
        <v>15172.5</v>
      </c>
      <c r="E9" s="203">
        <v>15000</v>
      </c>
      <c r="F9" s="203">
        <v>15000</v>
      </c>
      <c r="G9" s="269">
        <f t="shared" si="0"/>
        <v>0</v>
      </c>
      <c r="H9" s="26"/>
      <c r="J9" s="3"/>
      <c r="L9" s="2"/>
      <c r="N9" s="35"/>
      <c r="O9" s="10"/>
      <c r="Q9" s="12"/>
    </row>
    <row r="10" spans="1:19" customFormat="1" x14ac:dyDescent="0.2">
      <c r="A10" s="3" t="s">
        <v>360</v>
      </c>
      <c r="B10" s="3" t="s">
        <v>371</v>
      </c>
      <c r="C10" s="72">
        <v>1765</v>
      </c>
      <c r="D10" s="72">
        <v>1785</v>
      </c>
      <c r="E10" s="203">
        <v>1800</v>
      </c>
      <c r="F10" s="203">
        <v>1800</v>
      </c>
      <c r="G10" s="269">
        <f t="shared" si="0"/>
        <v>0</v>
      </c>
      <c r="H10" s="51" t="s">
        <v>2</v>
      </c>
      <c r="J10" s="66" t="s">
        <v>858</v>
      </c>
      <c r="K10" s="11"/>
      <c r="L10" s="57"/>
      <c r="M10" s="10"/>
      <c r="N10" s="36"/>
      <c r="O10" s="10"/>
      <c r="Q10" s="12"/>
    </row>
    <row r="11" spans="1:19" customFormat="1" x14ac:dyDescent="0.2">
      <c r="A11" s="3" t="s">
        <v>361</v>
      </c>
      <c r="B11" s="3" t="s">
        <v>372</v>
      </c>
      <c r="C11" s="72">
        <v>4000</v>
      </c>
      <c r="D11" s="72">
        <v>3600.65</v>
      </c>
      <c r="E11" s="203">
        <v>4000</v>
      </c>
      <c r="F11" s="203">
        <v>3600</v>
      </c>
      <c r="G11" s="269">
        <f t="shared" si="0"/>
        <v>-0.1</v>
      </c>
      <c r="H11" s="47" t="s">
        <v>641</v>
      </c>
      <c r="I11" s="48"/>
      <c r="J11" s="11">
        <v>8034028.6200000001</v>
      </c>
      <c r="K11" s="11">
        <f>+F3+F46</f>
        <v>4536354.1835535998</v>
      </c>
      <c r="L11" s="52">
        <f>K11/J11</f>
        <v>0.56464252221615807</v>
      </c>
      <c r="M11" s="10" t="s">
        <v>3</v>
      </c>
      <c r="N11" s="36"/>
    </row>
    <row r="12" spans="1:19" customFormat="1" ht="13.5" thickBot="1" x14ac:dyDescent="0.25">
      <c r="A12" s="3" t="s">
        <v>362</v>
      </c>
      <c r="B12" s="3" t="s">
        <v>373</v>
      </c>
      <c r="C12" s="68">
        <v>85000</v>
      </c>
      <c r="D12" s="68">
        <v>70791</v>
      </c>
      <c r="E12" s="201">
        <v>85000</v>
      </c>
      <c r="F12" s="201">
        <v>80000</v>
      </c>
      <c r="G12" s="269">
        <f t="shared" si="0"/>
        <v>-5.8823529411764705E-2</v>
      </c>
      <c r="H12" s="27"/>
      <c r="I12" s="10"/>
      <c r="J12" s="11"/>
      <c r="K12" s="37"/>
      <c r="L12" s="54">
        <f>L27</f>
        <v>1.7517598223343149E-3</v>
      </c>
      <c r="M12" s="38" t="s">
        <v>19</v>
      </c>
      <c r="N12" s="39"/>
    </row>
    <row r="13" spans="1:19" customFormat="1" x14ac:dyDescent="0.2">
      <c r="A13" s="3" t="s">
        <v>520</v>
      </c>
      <c r="B13" s="3" t="s">
        <v>521</v>
      </c>
      <c r="C13" s="68">
        <v>0</v>
      </c>
      <c r="D13" s="68">
        <v>1649</v>
      </c>
      <c r="E13" s="201">
        <v>2000</v>
      </c>
      <c r="F13" s="201">
        <v>2000</v>
      </c>
      <c r="G13" s="269">
        <f t="shared" si="0"/>
        <v>0</v>
      </c>
      <c r="H13" s="27"/>
      <c r="I13" s="10"/>
      <c r="J13" s="11"/>
      <c r="K13" s="58"/>
      <c r="L13" s="52">
        <f>+L11+L12</f>
        <v>0.5663942820384924</v>
      </c>
      <c r="M13" s="10" t="s">
        <v>877</v>
      </c>
      <c r="N13" s="44"/>
    </row>
    <row r="14" spans="1:19" customFormat="1" x14ac:dyDescent="0.2">
      <c r="A14" s="3" t="s">
        <v>364</v>
      </c>
      <c r="B14" s="3" t="s">
        <v>375</v>
      </c>
      <c r="C14" s="74">
        <v>43394</v>
      </c>
      <c r="D14" s="74">
        <v>43394</v>
      </c>
      <c r="E14" s="204">
        <v>45202</v>
      </c>
      <c r="F14" s="204">
        <v>50000</v>
      </c>
      <c r="G14" s="269">
        <f t="shared" si="0"/>
        <v>0.10614574576346179</v>
      </c>
      <c r="H14" s="26"/>
      <c r="L14" s="59">
        <f>L13-L8</f>
        <v>2.169428203849233E-2</v>
      </c>
      <c r="M14" s="10" t="s">
        <v>25</v>
      </c>
      <c r="N14" s="35"/>
      <c r="R14" s="13"/>
      <c r="S14" s="13"/>
    </row>
    <row r="15" spans="1:19" customFormat="1" ht="13.5" thickBot="1" x14ac:dyDescent="0.25">
      <c r="A15" s="3" t="s">
        <v>329</v>
      </c>
      <c r="B15" s="3" t="s">
        <v>376</v>
      </c>
      <c r="C15" s="73">
        <v>5000</v>
      </c>
      <c r="D15" s="73">
        <v>3633</v>
      </c>
      <c r="E15" s="205">
        <v>5000</v>
      </c>
      <c r="F15" s="205">
        <v>10367</v>
      </c>
      <c r="G15" s="269">
        <f t="shared" si="0"/>
        <v>1.0733999999999999</v>
      </c>
      <c r="H15" s="60"/>
      <c r="I15" s="61"/>
      <c r="J15" s="62"/>
      <c r="K15" s="61"/>
      <c r="L15" s="128">
        <f>L14/L8</f>
        <v>3.9827945728827474E-2</v>
      </c>
      <c r="M15" s="45" t="s">
        <v>26</v>
      </c>
      <c r="N15" s="46"/>
      <c r="O15" s="10"/>
      <c r="R15" s="13"/>
      <c r="S15" s="13"/>
    </row>
    <row r="16" spans="1:19" customFormat="1" x14ac:dyDescent="0.2">
      <c r="A16" s="3" t="s">
        <v>330</v>
      </c>
      <c r="B16" s="3" t="s">
        <v>377</v>
      </c>
      <c r="C16" s="68">
        <v>25000</v>
      </c>
      <c r="D16" s="68">
        <v>18563.88</v>
      </c>
      <c r="E16" s="201">
        <v>25000</v>
      </c>
      <c r="F16" s="201">
        <v>20000</v>
      </c>
      <c r="G16" s="269">
        <f t="shared" si="0"/>
        <v>-0.2</v>
      </c>
      <c r="O16" s="10"/>
      <c r="R16" s="13"/>
      <c r="S16" s="13"/>
    </row>
    <row r="17" spans="1:19" customFormat="1" x14ac:dyDescent="0.2">
      <c r="A17" s="3" t="s">
        <v>331</v>
      </c>
      <c r="B17" s="3" t="s">
        <v>378</v>
      </c>
      <c r="C17" s="68">
        <v>6100</v>
      </c>
      <c r="D17" s="68">
        <v>5383.55</v>
      </c>
      <c r="E17" s="201">
        <v>10279</v>
      </c>
      <c r="F17" s="201">
        <v>7000</v>
      </c>
      <c r="G17" s="269">
        <f t="shared" si="0"/>
        <v>-0.31899990271427181</v>
      </c>
      <c r="H17" s="326"/>
      <c r="I17" s="326"/>
      <c r="J17" s="326"/>
      <c r="K17" s="326"/>
      <c r="L17" s="326"/>
      <c r="M17" s="326"/>
      <c r="N17" s="326"/>
      <c r="O17" s="10"/>
      <c r="R17" s="13"/>
      <c r="S17" s="13"/>
    </row>
    <row r="18" spans="1:19" customFormat="1" ht="13.5" thickBot="1" x14ac:dyDescent="0.25">
      <c r="A18" s="3" t="s">
        <v>340</v>
      </c>
      <c r="B18" s="3" t="s">
        <v>454</v>
      </c>
      <c r="C18" s="68">
        <v>15000</v>
      </c>
      <c r="D18" s="68">
        <v>15000</v>
      </c>
      <c r="E18" s="201">
        <v>25000</v>
      </c>
      <c r="F18" s="201">
        <v>30000</v>
      </c>
      <c r="G18" s="269">
        <f t="shared" si="0"/>
        <v>0.2</v>
      </c>
      <c r="M18" s="23"/>
      <c r="N18" s="23"/>
    </row>
    <row r="19" spans="1:19" customFormat="1" ht="15.75" thickBot="1" x14ac:dyDescent="0.3">
      <c r="A19" s="3" t="s">
        <v>332</v>
      </c>
      <c r="B19" s="3" t="s">
        <v>460</v>
      </c>
      <c r="C19" s="70">
        <v>100000</v>
      </c>
      <c r="D19" s="70">
        <v>113500.47</v>
      </c>
      <c r="E19" s="200">
        <v>50000</v>
      </c>
      <c r="F19" s="200">
        <v>50000</v>
      </c>
      <c r="G19" s="269">
        <f t="shared" si="0"/>
        <v>0</v>
      </c>
      <c r="H19" s="327" t="s">
        <v>648</v>
      </c>
      <c r="I19" s="328"/>
      <c r="J19" s="328"/>
      <c r="K19" s="328"/>
      <c r="L19" s="328"/>
      <c r="M19" s="328"/>
      <c r="N19" s="31"/>
    </row>
    <row r="20" spans="1:19" customFormat="1" x14ac:dyDescent="0.2">
      <c r="A20" s="3" t="s">
        <v>333</v>
      </c>
      <c r="B20" s="3" t="s">
        <v>379</v>
      </c>
      <c r="C20" s="73">
        <v>1400</v>
      </c>
      <c r="D20" s="73">
        <v>810</v>
      </c>
      <c r="E20" s="205">
        <v>1400</v>
      </c>
      <c r="F20" s="205">
        <v>1000</v>
      </c>
      <c r="G20" s="269">
        <f t="shared" si="0"/>
        <v>-0.2857142857142857</v>
      </c>
      <c r="H20" s="279" t="s">
        <v>24</v>
      </c>
      <c r="I20" s="280" t="s">
        <v>21</v>
      </c>
      <c r="J20" s="280" t="s">
        <v>22</v>
      </c>
      <c r="K20" s="280" t="s">
        <v>28</v>
      </c>
      <c r="L20" s="280" t="s">
        <v>29</v>
      </c>
      <c r="M20" s="280" t="s">
        <v>20</v>
      </c>
      <c r="N20" s="28"/>
    </row>
    <row r="21" spans="1:19" customFormat="1" ht="15" customHeight="1" x14ac:dyDescent="0.2">
      <c r="A21" s="3" t="s">
        <v>334</v>
      </c>
      <c r="B21" s="3" t="s">
        <v>380</v>
      </c>
      <c r="C21" s="68">
        <v>4000</v>
      </c>
      <c r="D21" s="68">
        <v>3193</v>
      </c>
      <c r="E21" s="201">
        <v>4000</v>
      </c>
      <c r="F21" s="201">
        <v>3500</v>
      </c>
      <c r="G21" s="269">
        <f t="shared" si="0"/>
        <v>-0.125</v>
      </c>
      <c r="H21" s="26" t="s">
        <v>15</v>
      </c>
      <c r="I21" s="11">
        <v>360000</v>
      </c>
      <c r="J21" s="11"/>
      <c r="K21">
        <v>1.1991000000000001</v>
      </c>
      <c r="M21" s="281">
        <f>(I21/100)*K21</f>
        <v>4316.76</v>
      </c>
      <c r="N21" s="29"/>
    </row>
    <row r="22" spans="1:19" customFormat="1" ht="15" customHeight="1" x14ac:dyDescent="0.2">
      <c r="A22" s="3" t="s">
        <v>335</v>
      </c>
      <c r="B22" s="3" t="s">
        <v>381</v>
      </c>
      <c r="C22" s="68">
        <v>20000</v>
      </c>
      <c r="D22" s="68">
        <v>15220</v>
      </c>
      <c r="E22" s="201">
        <v>15000</v>
      </c>
      <c r="F22" s="201">
        <v>15000</v>
      </c>
      <c r="G22" s="269">
        <f t="shared" si="0"/>
        <v>0</v>
      </c>
      <c r="H22" s="26" t="s">
        <v>16</v>
      </c>
      <c r="I22" s="11" t="s">
        <v>12</v>
      </c>
      <c r="J22" s="11">
        <v>90000</v>
      </c>
      <c r="L22">
        <v>1.3446</v>
      </c>
      <c r="M22" s="32">
        <f>(J22/100)*L22</f>
        <v>1210.1400000000001</v>
      </c>
      <c r="N22" s="27"/>
    </row>
    <row r="23" spans="1:19" customFormat="1" ht="15" customHeight="1" thickBot="1" x14ac:dyDescent="0.3">
      <c r="A23" s="3" t="s">
        <v>336</v>
      </c>
      <c r="B23" s="3" t="s">
        <v>382</v>
      </c>
      <c r="C23" s="68">
        <v>2500</v>
      </c>
      <c r="D23" s="68">
        <v>1785</v>
      </c>
      <c r="E23" s="201">
        <v>2000</v>
      </c>
      <c r="F23" s="201">
        <v>2000</v>
      </c>
      <c r="G23" s="269">
        <f t="shared" si="0"/>
        <v>0</v>
      </c>
      <c r="H23" s="26" t="s">
        <v>17</v>
      </c>
      <c r="I23" s="11" t="s">
        <v>12</v>
      </c>
      <c r="J23" s="11">
        <v>635638</v>
      </c>
      <c r="L23">
        <v>1.3446</v>
      </c>
      <c r="M23" s="32">
        <f>(J23/100)*L23</f>
        <v>8546.7885480000004</v>
      </c>
      <c r="N23" s="30"/>
      <c r="O23" s="14"/>
      <c r="Q23" s="15"/>
    </row>
    <row r="24" spans="1:19" customFormat="1" ht="15" customHeight="1" x14ac:dyDescent="0.2">
      <c r="A24" s="3" t="s">
        <v>337</v>
      </c>
      <c r="B24" s="3" t="s">
        <v>383</v>
      </c>
      <c r="C24" s="68">
        <v>3000</v>
      </c>
      <c r="D24" s="68">
        <v>1080</v>
      </c>
      <c r="E24" s="201">
        <v>2000</v>
      </c>
      <c r="F24" s="201">
        <v>1500</v>
      </c>
      <c r="G24" s="269">
        <f t="shared" si="0"/>
        <v>-0.25</v>
      </c>
      <c r="H24" s="282" t="s">
        <v>23</v>
      </c>
      <c r="I24" s="11" t="s">
        <v>12</v>
      </c>
      <c r="M24" s="283">
        <f>SUM(M21:M23)</f>
        <v>14073.688548000002</v>
      </c>
      <c r="N24" s="27"/>
    </row>
    <row r="25" spans="1:19" customFormat="1" ht="15" customHeight="1" x14ac:dyDescent="0.2">
      <c r="A25" s="3" t="s">
        <v>338</v>
      </c>
      <c r="B25" s="3" t="s">
        <v>384</v>
      </c>
      <c r="C25" s="68">
        <v>250</v>
      </c>
      <c r="D25" s="68">
        <v>250</v>
      </c>
      <c r="E25" s="201">
        <v>250</v>
      </c>
      <c r="F25" s="201">
        <v>250</v>
      </c>
      <c r="G25" s="269">
        <f t="shared" si="0"/>
        <v>0</v>
      </c>
      <c r="H25" s="282"/>
      <c r="M25" s="32"/>
      <c r="N25" s="27"/>
      <c r="Q25" s="12"/>
    </row>
    <row r="26" spans="1:19" customFormat="1" ht="15" customHeight="1" x14ac:dyDescent="0.2">
      <c r="A26" s="3" t="s">
        <v>339</v>
      </c>
      <c r="B26" s="3" t="s">
        <v>403</v>
      </c>
      <c r="C26" s="68">
        <v>100</v>
      </c>
      <c r="D26" s="68">
        <v>39</v>
      </c>
      <c r="E26" s="201">
        <v>100</v>
      </c>
      <c r="F26" s="201">
        <v>50</v>
      </c>
      <c r="G26" s="269">
        <f t="shared" si="0"/>
        <v>-0.5</v>
      </c>
      <c r="H26" s="284" t="s">
        <v>18</v>
      </c>
      <c r="I26" s="7"/>
      <c r="J26" s="7" t="s">
        <v>850</v>
      </c>
      <c r="K26" s="285" t="s">
        <v>20</v>
      </c>
      <c r="L26" s="278" t="s">
        <v>0</v>
      </c>
      <c r="M26" s="10"/>
      <c r="N26" s="27"/>
      <c r="O26" s="10"/>
    </row>
    <row r="27" spans="1:19" customFormat="1" ht="15" customHeight="1" x14ac:dyDescent="0.2">
      <c r="A27" s="3" t="s">
        <v>462</v>
      </c>
      <c r="B27" s="3" t="s">
        <v>461</v>
      </c>
      <c r="C27" s="68">
        <v>100</v>
      </c>
      <c r="D27" s="68">
        <v>100</v>
      </c>
      <c r="E27" s="201">
        <v>200</v>
      </c>
      <c r="F27" s="201">
        <v>100</v>
      </c>
      <c r="G27" s="269">
        <f t="shared" si="0"/>
        <v>-0.5</v>
      </c>
      <c r="H27" s="321" t="s">
        <v>663</v>
      </c>
      <c r="I27" s="48"/>
      <c r="J27" s="11">
        <f>J11</f>
        <v>8034028.6200000001</v>
      </c>
      <c r="K27" s="11">
        <f>M24</f>
        <v>14073.688548000002</v>
      </c>
      <c r="L27" s="286">
        <f>K27/J27</f>
        <v>1.7517598223343149E-3</v>
      </c>
      <c r="M27" s="10" t="s">
        <v>19</v>
      </c>
      <c r="N27" s="27"/>
      <c r="O27" s="10"/>
    </row>
    <row r="28" spans="1:19" customFormat="1" ht="15" customHeight="1" thickBot="1" x14ac:dyDescent="0.25">
      <c r="A28" s="3" t="s">
        <v>363</v>
      </c>
      <c r="B28" s="3" t="s">
        <v>374</v>
      </c>
      <c r="C28" s="68">
        <v>35000</v>
      </c>
      <c r="D28" s="68">
        <v>43394</v>
      </c>
      <c r="E28" s="201">
        <v>40000</v>
      </c>
      <c r="F28" s="201">
        <v>45000</v>
      </c>
      <c r="G28" s="269">
        <f t="shared" si="0"/>
        <v>0.125</v>
      </c>
      <c r="H28" s="287"/>
      <c r="I28" s="38"/>
      <c r="J28" s="37"/>
      <c r="K28" s="37"/>
      <c r="L28" s="288"/>
      <c r="M28" s="38"/>
      <c r="N28" s="26"/>
      <c r="O28" s="10"/>
    </row>
    <row r="29" spans="1:19" customFormat="1" ht="15" customHeight="1" x14ac:dyDescent="0.2">
      <c r="A29" s="3" t="s">
        <v>341</v>
      </c>
      <c r="B29" s="24" t="s">
        <v>527</v>
      </c>
      <c r="C29" s="75">
        <v>5000</v>
      </c>
      <c r="D29" s="75">
        <v>2160</v>
      </c>
      <c r="E29" s="206">
        <v>2500</v>
      </c>
      <c r="F29" s="206">
        <v>2500</v>
      </c>
      <c r="G29" s="269">
        <f t="shared" si="0"/>
        <v>0</v>
      </c>
      <c r="J29" s="21"/>
      <c r="L29" s="25"/>
      <c r="M29" s="22"/>
      <c r="N29" s="10"/>
      <c r="O29" s="10"/>
    </row>
    <row r="30" spans="1:19" customFormat="1" ht="15" customHeight="1" x14ac:dyDescent="0.2">
      <c r="A30" s="3" t="s">
        <v>342</v>
      </c>
      <c r="B30" s="3" t="s">
        <v>732</v>
      </c>
      <c r="C30" s="68">
        <v>500</v>
      </c>
      <c r="D30" s="68">
        <v>365</v>
      </c>
      <c r="E30" s="201">
        <v>100</v>
      </c>
      <c r="F30" s="201">
        <v>500</v>
      </c>
      <c r="G30" s="269">
        <f t="shared" si="0"/>
        <v>4</v>
      </c>
      <c r="H30" s="10"/>
      <c r="I30" s="10"/>
      <c r="J30" s="11"/>
      <c r="K30" s="11"/>
      <c r="L30" s="16"/>
      <c r="M30" s="10"/>
      <c r="N30" s="10"/>
      <c r="O30" s="10"/>
    </row>
    <row r="31" spans="1:19" customFormat="1" x14ac:dyDescent="0.2">
      <c r="A31" s="3" t="s">
        <v>343</v>
      </c>
      <c r="B31" s="3" t="s">
        <v>526</v>
      </c>
      <c r="C31" s="68">
        <v>250</v>
      </c>
      <c r="D31" s="68">
        <v>0</v>
      </c>
      <c r="E31" s="201">
        <v>0</v>
      </c>
      <c r="F31" s="201">
        <v>0</v>
      </c>
      <c r="G31" s="269">
        <v>0</v>
      </c>
      <c r="H31" s="19"/>
    </row>
    <row r="32" spans="1:19" customFormat="1" x14ac:dyDescent="0.2">
      <c r="A32" s="3" t="s">
        <v>344</v>
      </c>
      <c r="B32" s="3" t="s">
        <v>525</v>
      </c>
      <c r="C32" s="68">
        <v>2000</v>
      </c>
      <c r="D32" s="68">
        <v>4417.5</v>
      </c>
      <c r="E32" s="201">
        <v>5000</v>
      </c>
      <c r="F32" s="201">
        <v>4500</v>
      </c>
      <c r="G32" s="269">
        <f t="shared" si="0"/>
        <v>-0.1</v>
      </c>
    </row>
    <row r="33" spans="1:14" customFormat="1" x14ac:dyDescent="0.2">
      <c r="A33" s="3" t="s">
        <v>443</v>
      </c>
      <c r="B33" s="3" t="s">
        <v>524</v>
      </c>
      <c r="C33" s="75">
        <v>1000</v>
      </c>
      <c r="D33" s="75">
        <v>6247.59</v>
      </c>
      <c r="E33" s="206">
        <v>5000</v>
      </c>
      <c r="F33" s="206">
        <v>7000</v>
      </c>
      <c r="G33" s="269">
        <f t="shared" si="0"/>
        <v>0.4</v>
      </c>
      <c r="H33" s="18"/>
    </row>
    <row r="34" spans="1:14" customFormat="1" x14ac:dyDescent="0.2">
      <c r="A34" s="3" t="s">
        <v>345</v>
      </c>
      <c r="B34" s="3" t="s">
        <v>523</v>
      </c>
      <c r="C34" s="68">
        <v>800</v>
      </c>
      <c r="D34" s="68">
        <v>2060</v>
      </c>
      <c r="E34" s="201">
        <v>2000</v>
      </c>
      <c r="F34" s="201">
        <v>2000</v>
      </c>
      <c r="G34" s="269">
        <f t="shared" si="0"/>
        <v>0</v>
      </c>
      <c r="H34" s="18"/>
    </row>
    <row r="35" spans="1:14" customFormat="1" ht="13.15" customHeight="1" x14ac:dyDescent="0.2">
      <c r="A35" s="3" t="s">
        <v>490</v>
      </c>
      <c r="B35" s="3" t="s">
        <v>851</v>
      </c>
      <c r="C35" s="68">
        <v>3000</v>
      </c>
      <c r="D35" s="68">
        <v>3503.72</v>
      </c>
      <c r="E35" s="201">
        <v>3000</v>
      </c>
      <c r="F35" s="201">
        <v>500</v>
      </c>
      <c r="G35" s="269">
        <f t="shared" si="0"/>
        <v>-0.83333333333333337</v>
      </c>
    </row>
    <row r="36" spans="1:14" customFormat="1" ht="14.25" customHeight="1" x14ac:dyDescent="0.2">
      <c r="A36" s="3" t="s">
        <v>346</v>
      </c>
      <c r="B36" s="3" t="s">
        <v>528</v>
      </c>
      <c r="C36" s="68">
        <v>0</v>
      </c>
      <c r="D36" s="68">
        <v>370</v>
      </c>
      <c r="E36" s="201">
        <v>500</v>
      </c>
      <c r="F36" s="201">
        <v>400</v>
      </c>
      <c r="G36" s="269">
        <f t="shared" si="0"/>
        <v>-0.2</v>
      </c>
    </row>
    <row r="37" spans="1:14" customFormat="1" ht="14.25" customHeight="1" x14ac:dyDescent="0.2">
      <c r="A37" s="7"/>
      <c r="B37" s="7" t="s">
        <v>13</v>
      </c>
      <c r="C37" s="70"/>
      <c r="D37" s="70"/>
      <c r="E37" s="200"/>
      <c r="F37" s="200"/>
      <c r="G37" s="269"/>
    </row>
    <row r="38" spans="1:14" customFormat="1" ht="15" x14ac:dyDescent="0.2">
      <c r="A38" s="17" t="s">
        <v>511</v>
      </c>
      <c r="B38" s="17" t="s">
        <v>512</v>
      </c>
      <c r="C38" s="75">
        <v>5000</v>
      </c>
      <c r="D38" s="75">
        <v>5000</v>
      </c>
      <c r="E38" s="206">
        <v>5000</v>
      </c>
      <c r="F38" s="206">
        <v>5000</v>
      </c>
      <c r="G38" s="269">
        <f t="shared" si="0"/>
        <v>0</v>
      </c>
      <c r="H38" s="40"/>
      <c r="I38" s="42"/>
      <c r="J38" s="2"/>
      <c r="K38" s="11"/>
      <c r="N38" s="10"/>
    </row>
    <row r="39" spans="1:14" customFormat="1" ht="15" x14ac:dyDescent="0.2">
      <c r="A39" s="17"/>
      <c r="B39" s="3" t="s">
        <v>683</v>
      </c>
      <c r="C39" s="75">
        <v>0</v>
      </c>
      <c r="D39" s="75">
        <v>0</v>
      </c>
      <c r="E39" s="206">
        <v>0</v>
      </c>
      <c r="F39" s="206">
        <v>20000</v>
      </c>
      <c r="G39" s="269">
        <v>1</v>
      </c>
      <c r="H39" s="40"/>
      <c r="I39" s="41"/>
    </row>
    <row r="40" spans="1:14" customFormat="1" ht="15" x14ac:dyDescent="0.2">
      <c r="A40" s="17"/>
      <c r="B40" s="3" t="s">
        <v>746</v>
      </c>
      <c r="C40" s="75">
        <v>0</v>
      </c>
      <c r="D40" s="75">
        <v>0</v>
      </c>
      <c r="E40" s="206">
        <v>0</v>
      </c>
      <c r="F40" s="206">
        <v>50000</v>
      </c>
      <c r="G40" s="269">
        <v>1</v>
      </c>
      <c r="H40" s="40"/>
      <c r="I40" s="41"/>
    </row>
    <row r="41" spans="1:14" customFormat="1" ht="15" x14ac:dyDescent="0.2">
      <c r="A41" s="17"/>
      <c r="B41" s="3" t="s">
        <v>852</v>
      </c>
      <c r="C41" s="75">
        <v>0</v>
      </c>
      <c r="D41" s="75">
        <v>0</v>
      </c>
      <c r="E41" s="206">
        <v>0</v>
      </c>
      <c r="F41" s="206">
        <v>100000</v>
      </c>
      <c r="G41" s="269">
        <v>1</v>
      </c>
      <c r="H41" s="40"/>
      <c r="I41" s="41"/>
    </row>
    <row r="42" spans="1:14" customFormat="1" ht="15" x14ac:dyDescent="0.2">
      <c r="A42" s="17"/>
      <c r="B42" s="338" t="s">
        <v>873</v>
      </c>
      <c r="C42" s="75"/>
      <c r="D42" s="75"/>
      <c r="E42" s="206"/>
      <c r="F42" s="206">
        <v>10000</v>
      </c>
      <c r="G42" s="269"/>
      <c r="H42" s="40"/>
      <c r="I42" s="41"/>
    </row>
    <row r="43" spans="1:14" customFormat="1" ht="15.75" thickBot="1" x14ac:dyDescent="0.25">
      <c r="A43" s="17"/>
      <c r="B43" s="3" t="s">
        <v>689</v>
      </c>
      <c r="C43" s="75">
        <v>433186</v>
      </c>
      <c r="D43" s="75"/>
      <c r="E43" s="206">
        <v>78647</v>
      </c>
      <c r="F43" s="206">
        <f>'Unassigned Funds Projected'!Q40</f>
        <v>273953.75922040013</v>
      </c>
      <c r="G43" s="269">
        <v>1</v>
      </c>
      <c r="H43" s="40"/>
      <c r="I43" s="41"/>
    </row>
    <row r="44" spans="1:14" customFormat="1" ht="16.5" thickTop="1" thickBot="1" x14ac:dyDescent="0.3">
      <c r="A44" s="7"/>
      <c r="B44" s="7" t="s">
        <v>8</v>
      </c>
      <c r="C44" s="267">
        <f>SUM(C3:C43)</f>
        <v>2949952.78</v>
      </c>
      <c r="D44" s="267">
        <f>SUM(D3:D43)</f>
        <v>2527436.4899999998</v>
      </c>
      <c r="E44" s="267">
        <f>SUM(E3:E43)</f>
        <v>3050005.4635999999</v>
      </c>
      <c r="F44" s="291">
        <f>SUM(F3:F43)</f>
        <v>3434168.2718639998</v>
      </c>
      <c r="G44" s="270">
        <f t="shared" si="0"/>
        <v>0.12595479347455418</v>
      </c>
      <c r="H44" s="34"/>
      <c r="I44" s="32"/>
      <c r="J44" s="12"/>
      <c r="M44" s="10"/>
      <c r="N44" s="10"/>
    </row>
    <row r="45" spans="1:14" customFormat="1" ht="13.5" thickTop="1" x14ac:dyDescent="0.2">
      <c r="C45" s="76"/>
      <c r="D45" s="76"/>
      <c r="E45" s="133"/>
      <c r="F45" s="292"/>
      <c r="G45" s="269"/>
      <c r="H45" s="33"/>
      <c r="I45" s="32"/>
      <c r="M45" s="10"/>
    </row>
    <row r="46" spans="1:14" customFormat="1" x14ac:dyDescent="0.2">
      <c r="A46" s="3" t="s">
        <v>347</v>
      </c>
      <c r="B46" s="3" t="s">
        <v>385</v>
      </c>
      <c r="C46" s="74">
        <v>1849945</v>
      </c>
      <c r="D46" s="74">
        <v>1849945</v>
      </c>
      <c r="E46" s="204">
        <v>1792106.26</v>
      </c>
      <c r="F46" s="204">
        <f>'FY27 Expense'!G476-SUM('FY27 Revenue'!F47:F54)</f>
        <v>1967206.6709099999</v>
      </c>
      <c r="G46" s="269">
        <f t="shared" si="0"/>
        <v>9.7706489184407996E-2</v>
      </c>
      <c r="H46" s="33"/>
      <c r="I46" s="3"/>
      <c r="J46" s="3"/>
      <c r="K46" s="43"/>
    </row>
    <row r="47" spans="1:14" customFormat="1" ht="15" x14ac:dyDescent="0.25">
      <c r="A47" s="3" t="s">
        <v>348</v>
      </c>
      <c r="B47" s="3" t="s">
        <v>386</v>
      </c>
      <c r="C47" s="68">
        <v>113500</v>
      </c>
      <c r="D47" s="68">
        <v>128428.11</v>
      </c>
      <c r="E47" s="201">
        <v>125000</v>
      </c>
      <c r="F47" s="201">
        <v>125000</v>
      </c>
      <c r="G47" s="269">
        <f t="shared" si="0"/>
        <v>0</v>
      </c>
      <c r="H47" s="34"/>
      <c r="I47" s="3"/>
      <c r="J47" s="3"/>
      <c r="K47" s="43"/>
    </row>
    <row r="48" spans="1:14" customFormat="1" ht="15" x14ac:dyDescent="0.25">
      <c r="A48" s="3" t="s">
        <v>349</v>
      </c>
      <c r="B48" s="3" t="s">
        <v>387</v>
      </c>
      <c r="C48" s="74">
        <v>1500</v>
      </c>
      <c r="D48" s="74">
        <v>1382</v>
      </c>
      <c r="E48" s="204">
        <v>1500</v>
      </c>
      <c r="F48" s="204">
        <v>1500</v>
      </c>
      <c r="G48" s="269">
        <f t="shared" si="0"/>
        <v>0</v>
      </c>
      <c r="H48" s="34"/>
      <c r="I48" s="3"/>
      <c r="J48" s="3"/>
      <c r="K48" s="43"/>
    </row>
    <row r="49" spans="1:15" customFormat="1" x14ac:dyDescent="0.2">
      <c r="A49" s="3" t="s">
        <v>351</v>
      </c>
      <c r="B49" s="3" t="s">
        <v>389</v>
      </c>
      <c r="C49" s="77">
        <v>500</v>
      </c>
      <c r="D49" s="77">
        <v>575</v>
      </c>
      <c r="E49" s="207">
        <v>1000</v>
      </c>
      <c r="F49" s="207">
        <v>750</v>
      </c>
      <c r="G49" s="269">
        <f t="shared" si="0"/>
        <v>-0.25</v>
      </c>
      <c r="H49" s="33"/>
      <c r="I49" s="3"/>
      <c r="J49" s="3"/>
      <c r="K49" s="43"/>
      <c r="O49" s="10"/>
    </row>
    <row r="50" spans="1:15" customFormat="1" ht="15" x14ac:dyDescent="0.25">
      <c r="A50" s="3" t="s">
        <v>350</v>
      </c>
      <c r="B50" s="3" t="s">
        <v>388</v>
      </c>
      <c r="C50" s="77">
        <v>500</v>
      </c>
      <c r="D50" s="77">
        <v>5300</v>
      </c>
      <c r="E50" s="207">
        <v>600</v>
      </c>
      <c r="F50" s="207">
        <v>1000</v>
      </c>
      <c r="G50" s="269">
        <f t="shared" si="0"/>
        <v>0.66666666666666663</v>
      </c>
      <c r="H50" s="34"/>
      <c r="I50" s="3"/>
      <c r="J50" s="3"/>
      <c r="K50" s="43"/>
    </row>
    <row r="51" spans="1:15" customFormat="1" x14ac:dyDescent="0.2">
      <c r="A51" s="7"/>
      <c r="B51" s="7" t="s">
        <v>14</v>
      </c>
      <c r="C51" s="77"/>
      <c r="D51" s="77"/>
      <c r="E51" s="134"/>
      <c r="F51" s="207"/>
      <c r="G51" s="269"/>
      <c r="I51" s="3"/>
      <c r="K51" s="43"/>
    </row>
    <row r="52" spans="1:15" customFormat="1" x14ac:dyDescent="0.2">
      <c r="A52" s="3" t="s">
        <v>557</v>
      </c>
      <c r="B52" s="3" t="s">
        <v>681</v>
      </c>
      <c r="C52" s="77">
        <v>0</v>
      </c>
      <c r="D52" s="77">
        <v>0</v>
      </c>
      <c r="E52" s="77">
        <v>0</v>
      </c>
      <c r="F52" s="206">
        <f>'Unassigned Funds Projected'!Q17</f>
        <v>66343.912490000017</v>
      </c>
      <c r="G52" s="269">
        <v>1</v>
      </c>
      <c r="I52" s="3"/>
      <c r="K52" s="43"/>
    </row>
    <row r="53" spans="1:15" customFormat="1" x14ac:dyDescent="0.2">
      <c r="A53" s="3"/>
      <c r="B53" s="3" t="s">
        <v>875</v>
      </c>
      <c r="C53" s="77"/>
      <c r="D53" s="77"/>
      <c r="E53" s="77"/>
      <c r="F53" s="314">
        <v>110000</v>
      </c>
      <c r="G53" s="269"/>
      <c r="I53" s="3"/>
      <c r="K53" s="43"/>
    </row>
    <row r="54" spans="1:15" customFormat="1" ht="13.5" thickBot="1" x14ac:dyDescent="0.25">
      <c r="A54" s="3"/>
      <c r="B54" s="3" t="s">
        <v>682</v>
      </c>
      <c r="C54" s="77">
        <v>0</v>
      </c>
      <c r="D54" s="77">
        <v>0</v>
      </c>
      <c r="E54" s="77">
        <v>0</v>
      </c>
      <c r="F54" s="207">
        <v>250000</v>
      </c>
      <c r="G54" s="269">
        <v>1</v>
      </c>
      <c r="I54" s="3"/>
      <c r="K54" s="43"/>
    </row>
    <row r="55" spans="1:15" customFormat="1" ht="14.25" thickTop="1" thickBot="1" x14ac:dyDescent="0.25">
      <c r="A55" s="7"/>
      <c r="B55" s="7" t="s">
        <v>7</v>
      </c>
      <c r="C55" s="267">
        <f t="shared" ref="C55:E55" si="1">SUM(C46:C54)</f>
        <v>1965945</v>
      </c>
      <c r="D55" s="267">
        <f t="shared" si="1"/>
        <v>1985630.11</v>
      </c>
      <c r="E55" s="267">
        <f t="shared" si="1"/>
        <v>1920206.26</v>
      </c>
      <c r="F55" s="291">
        <f>SUM(F46:F54)</f>
        <v>2521800.5833999999</v>
      </c>
      <c r="G55" s="270">
        <f>(E55-C55)/C55</f>
        <v>-2.3265523704884924E-2</v>
      </c>
    </row>
    <row r="56" spans="1:15" customFormat="1" ht="14.25" thickTop="1" thickBot="1" x14ac:dyDescent="0.25">
      <c r="A56" s="7"/>
      <c r="B56" s="7"/>
      <c r="C56" s="76"/>
      <c r="D56" s="76"/>
      <c r="E56" s="133"/>
      <c r="F56" s="292"/>
      <c r="G56" s="269"/>
    </row>
    <row r="57" spans="1:15" customFormat="1" ht="14.25" thickTop="1" thickBot="1" x14ac:dyDescent="0.25">
      <c r="A57" s="7"/>
      <c r="B57" s="7" t="s">
        <v>577</v>
      </c>
      <c r="C57" s="268">
        <f t="shared" ref="C57:F57" si="2">C55+C44</f>
        <v>4915897.7799999993</v>
      </c>
      <c r="D57" s="268">
        <f t="shared" si="2"/>
        <v>4513066.5999999996</v>
      </c>
      <c r="E57" s="268">
        <f t="shared" si="2"/>
        <v>4970211.7236000001</v>
      </c>
      <c r="F57" s="293">
        <f t="shared" si="2"/>
        <v>5955968.8552639997</v>
      </c>
      <c r="G57" s="271">
        <f>(E57-C57)/C57</f>
        <v>1.1048631609260357E-2</v>
      </c>
    </row>
    <row r="58" spans="1:15" customFormat="1" ht="14.25" thickTop="1" thickBot="1" x14ac:dyDescent="0.25">
      <c r="A58" s="20"/>
      <c r="B58" s="20" t="s">
        <v>9</v>
      </c>
      <c r="C58" s="268">
        <f>SUM(C4:C43)+SUM(C47:C52)</f>
        <v>985426.78</v>
      </c>
      <c r="D58" s="268">
        <f>SUM(D4:D43)+SUM(D47:D52)</f>
        <v>580964.05000000005</v>
      </c>
      <c r="E58" s="268">
        <f>SUM(E4:E43)+SUM(E47:E52)</f>
        <v>611938.53</v>
      </c>
      <c r="F58" s="293">
        <f>SUM(F4:F43)+SUM(F47:F52)</f>
        <v>1059614.6717104001</v>
      </c>
      <c r="G58" s="271">
        <f>(E58-C58)/C58</f>
        <v>-0.37901167045612461</v>
      </c>
    </row>
    <row r="59" spans="1:15" customFormat="1" ht="13.5" thickTop="1" x14ac:dyDescent="0.2">
      <c r="C59" s="78"/>
      <c r="D59" s="78"/>
      <c r="E59" s="135"/>
      <c r="F59" s="294"/>
      <c r="G59" s="92"/>
    </row>
    <row r="60" spans="1:15" customFormat="1" x14ac:dyDescent="0.2">
      <c r="C60" s="78"/>
      <c r="D60" s="78"/>
      <c r="E60" s="135"/>
      <c r="F60" s="294"/>
      <c r="G60" s="92"/>
    </row>
    <row r="61" spans="1:15" customFormat="1" x14ac:dyDescent="0.2">
      <c r="C61" s="68"/>
      <c r="D61" s="68"/>
      <c r="E61" s="132"/>
      <c r="F61" s="201"/>
      <c r="G61" s="92"/>
    </row>
    <row r="62" spans="1:15" customFormat="1" x14ac:dyDescent="0.2">
      <c r="C62" s="68"/>
      <c r="D62" s="68"/>
      <c r="E62" s="132"/>
      <c r="F62" s="201"/>
      <c r="G62" s="92"/>
    </row>
    <row r="63" spans="1:15" customFormat="1" x14ac:dyDescent="0.2">
      <c r="C63" s="68"/>
      <c r="D63" s="68"/>
      <c r="E63" s="132"/>
      <c r="F63" s="201"/>
      <c r="G63" s="92"/>
    </row>
    <row r="64" spans="1:15" customFormat="1" x14ac:dyDescent="0.2">
      <c r="C64" s="68"/>
      <c r="D64" s="68"/>
      <c r="E64" s="132"/>
      <c r="F64" s="201"/>
      <c r="G64" s="92"/>
    </row>
    <row r="65" spans="3:7" customFormat="1" x14ac:dyDescent="0.2">
      <c r="C65" s="68"/>
      <c r="D65" s="68"/>
      <c r="E65" s="132"/>
      <c r="F65" s="201"/>
      <c r="G65" s="92"/>
    </row>
    <row r="66" spans="3:7" customFormat="1" x14ac:dyDescent="0.2">
      <c r="C66" s="68"/>
      <c r="D66" s="68"/>
      <c r="E66" s="132"/>
      <c r="F66" s="201"/>
      <c r="G66" s="92"/>
    </row>
    <row r="67" spans="3:7" customFormat="1" x14ac:dyDescent="0.2">
      <c r="C67" s="68"/>
      <c r="D67" s="68"/>
      <c r="E67" s="132"/>
      <c r="F67" s="201"/>
      <c r="G67" s="92"/>
    </row>
    <row r="68" spans="3:7" customFormat="1" x14ac:dyDescent="0.2">
      <c r="C68" s="68"/>
      <c r="D68" s="68"/>
      <c r="E68" s="132"/>
      <c r="F68" s="201"/>
      <c r="G68" s="92"/>
    </row>
    <row r="69" spans="3:7" customFormat="1" x14ac:dyDescent="0.2">
      <c r="C69" s="68"/>
      <c r="D69" s="68"/>
      <c r="E69" s="132"/>
      <c r="F69" s="201"/>
      <c r="G69" s="92"/>
    </row>
    <row r="70" spans="3:7" customFormat="1" x14ac:dyDescent="0.2">
      <c r="C70" s="68"/>
      <c r="D70" s="68"/>
      <c r="E70" s="132"/>
      <c r="F70" s="201"/>
      <c r="G70" s="92"/>
    </row>
    <row r="71" spans="3:7" customFormat="1" x14ac:dyDescent="0.2">
      <c r="C71" s="68"/>
      <c r="D71" s="68"/>
      <c r="E71" s="132"/>
      <c r="F71" s="201"/>
      <c r="G71" s="92"/>
    </row>
    <row r="72" spans="3:7" customFormat="1" x14ac:dyDescent="0.2">
      <c r="C72" s="68"/>
      <c r="D72" s="68"/>
      <c r="E72" s="132"/>
      <c r="F72" s="201"/>
      <c r="G72" s="92"/>
    </row>
    <row r="73" spans="3:7" customFormat="1" x14ac:dyDescent="0.2">
      <c r="C73" s="68"/>
      <c r="D73" s="68"/>
      <c r="E73" s="132"/>
      <c r="F73" s="201"/>
      <c r="G73" s="92"/>
    </row>
    <row r="74" spans="3:7" customFormat="1" x14ac:dyDescent="0.2">
      <c r="C74" s="68"/>
      <c r="D74" s="68"/>
      <c r="E74" s="132"/>
      <c r="F74" s="201"/>
      <c r="G74" s="92"/>
    </row>
    <row r="75" spans="3:7" customFormat="1" x14ac:dyDescent="0.2">
      <c r="C75" s="68"/>
      <c r="D75" s="68"/>
      <c r="E75" s="132"/>
      <c r="F75" s="201"/>
      <c r="G75" s="92"/>
    </row>
    <row r="76" spans="3:7" customFormat="1" x14ac:dyDescent="0.2">
      <c r="C76" s="68"/>
      <c r="D76" s="68"/>
      <c r="E76" s="132"/>
      <c r="F76" s="201"/>
      <c r="G76" s="92"/>
    </row>
    <row r="77" spans="3:7" customFormat="1" x14ac:dyDescent="0.2">
      <c r="C77" s="68"/>
      <c r="D77" s="68"/>
      <c r="E77" s="132"/>
      <c r="F77" s="201"/>
      <c r="G77" s="92"/>
    </row>
    <row r="78" spans="3:7" customFormat="1" x14ac:dyDescent="0.2">
      <c r="C78" s="68"/>
      <c r="D78" s="68"/>
      <c r="E78" s="132"/>
      <c r="F78" s="201"/>
      <c r="G78" s="92"/>
    </row>
    <row r="79" spans="3:7" customFormat="1" x14ac:dyDescent="0.2">
      <c r="C79" s="68"/>
      <c r="D79" s="68"/>
      <c r="E79" s="132"/>
      <c r="F79" s="201"/>
      <c r="G79" s="92"/>
    </row>
    <row r="80" spans="3:7" customFormat="1" x14ac:dyDescent="0.2">
      <c r="C80" s="68"/>
      <c r="D80" s="68"/>
      <c r="E80" s="132"/>
      <c r="F80" s="201"/>
      <c r="G80" s="92"/>
    </row>
    <row r="81" spans="3:7" customFormat="1" x14ac:dyDescent="0.2">
      <c r="C81" s="68"/>
      <c r="D81" s="68"/>
      <c r="E81" s="132"/>
      <c r="F81" s="201"/>
      <c r="G81" s="92"/>
    </row>
    <row r="82" spans="3:7" customFormat="1" x14ac:dyDescent="0.2">
      <c r="C82" s="68"/>
      <c r="D82" s="68"/>
      <c r="E82" s="132"/>
      <c r="F82" s="201"/>
      <c r="G82" s="92"/>
    </row>
    <row r="83" spans="3:7" customFormat="1" x14ac:dyDescent="0.2">
      <c r="C83" s="68"/>
      <c r="D83" s="68"/>
      <c r="E83" s="132"/>
      <c r="F83" s="201"/>
      <c r="G83" s="92"/>
    </row>
    <row r="84" spans="3:7" customFormat="1" x14ac:dyDescent="0.2">
      <c r="C84" s="68"/>
      <c r="D84" s="68"/>
      <c r="E84" s="132"/>
      <c r="F84" s="201"/>
      <c r="G84" s="92"/>
    </row>
    <row r="85" spans="3:7" customFormat="1" x14ac:dyDescent="0.2">
      <c r="C85" s="68"/>
      <c r="D85" s="68"/>
      <c r="E85" s="132"/>
      <c r="F85" s="201"/>
      <c r="G85" s="92"/>
    </row>
    <row r="86" spans="3:7" customFormat="1" x14ac:dyDescent="0.2">
      <c r="C86" s="68"/>
      <c r="D86" s="68"/>
      <c r="E86" s="132"/>
      <c r="F86" s="201"/>
      <c r="G86" s="92"/>
    </row>
    <row r="87" spans="3:7" customFormat="1" x14ac:dyDescent="0.2">
      <c r="C87" s="68"/>
      <c r="D87" s="68"/>
      <c r="E87" s="132"/>
      <c r="F87" s="201"/>
      <c r="G87" s="92"/>
    </row>
    <row r="88" spans="3:7" customFormat="1" x14ac:dyDescent="0.2">
      <c r="C88" s="68"/>
      <c r="D88" s="68"/>
      <c r="E88" s="132"/>
      <c r="F88" s="201"/>
      <c r="G88" s="92"/>
    </row>
    <row r="89" spans="3:7" customFormat="1" x14ac:dyDescent="0.2">
      <c r="C89" s="68"/>
      <c r="D89" s="68"/>
      <c r="E89" s="132"/>
      <c r="F89" s="201"/>
      <c r="G89" s="92"/>
    </row>
    <row r="90" spans="3:7" customFormat="1" x14ac:dyDescent="0.2">
      <c r="C90" s="68"/>
      <c r="D90" s="68"/>
      <c r="E90" s="132"/>
      <c r="F90" s="201"/>
      <c r="G90" s="92"/>
    </row>
    <row r="91" spans="3:7" customFormat="1" x14ac:dyDescent="0.2">
      <c r="C91" s="68"/>
      <c r="D91" s="68"/>
      <c r="E91" s="132"/>
      <c r="F91" s="201"/>
      <c r="G91" s="92"/>
    </row>
    <row r="92" spans="3:7" customFormat="1" x14ac:dyDescent="0.2">
      <c r="C92" s="68"/>
      <c r="D92" s="68"/>
      <c r="E92" s="132"/>
      <c r="F92" s="201"/>
      <c r="G92" s="92"/>
    </row>
    <row r="93" spans="3:7" customFormat="1" x14ac:dyDescent="0.2">
      <c r="C93" s="68"/>
      <c r="D93" s="68"/>
      <c r="E93" s="132"/>
      <c r="F93" s="201"/>
      <c r="G93" s="92"/>
    </row>
    <row r="94" spans="3:7" customFormat="1" x14ac:dyDescent="0.2">
      <c r="C94" s="68"/>
      <c r="D94" s="68"/>
      <c r="E94" s="132"/>
      <c r="F94" s="201"/>
      <c r="G94" s="92"/>
    </row>
    <row r="95" spans="3:7" customFormat="1" x14ac:dyDescent="0.2">
      <c r="C95" s="68"/>
      <c r="D95" s="68"/>
      <c r="E95" s="132"/>
      <c r="F95" s="201"/>
      <c r="G95" s="92"/>
    </row>
    <row r="96" spans="3:7" customFormat="1" x14ac:dyDescent="0.2">
      <c r="C96" s="68"/>
      <c r="D96" s="68"/>
      <c r="E96" s="132"/>
      <c r="F96" s="201"/>
      <c r="G96" s="92"/>
    </row>
    <row r="97" spans="3:7" customFormat="1" x14ac:dyDescent="0.2">
      <c r="C97" s="68"/>
      <c r="D97" s="68"/>
      <c r="E97" s="132"/>
      <c r="F97" s="201"/>
      <c r="G97" s="92"/>
    </row>
    <row r="98" spans="3:7" customFormat="1" x14ac:dyDescent="0.2">
      <c r="C98" s="68"/>
      <c r="D98" s="68"/>
      <c r="E98" s="132"/>
      <c r="F98" s="201"/>
      <c r="G98" s="92"/>
    </row>
    <row r="99" spans="3:7" customFormat="1" x14ac:dyDescent="0.2">
      <c r="C99" s="68"/>
      <c r="D99" s="68"/>
      <c r="E99" s="132"/>
      <c r="F99" s="201"/>
      <c r="G99" s="92"/>
    </row>
    <row r="100" spans="3:7" customFormat="1" x14ac:dyDescent="0.2">
      <c r="C100" s="68"/>
      <c r="D100" s="68"/>
      <c r="E100" s="132"/>
      <c r="F100" s="201"/>
      <c r="G100" s="92"/>
    </row>
    <row r="101" spans="3:7" customFormat="1" x14ac:dyDescent="0.2">
      <c r="C101" s="68"/>
      <c r="D101" s="68"/>
      <c r="E101" s="132"/>
      <c r="F101" s="201"/>
      <c r="G101" s="92"/>
    </row>
    <row r="102" spans="3:7" customFormat="1" x14ac:dyDescent="0.2">
      <c r="C102" s="68"/>
      <c r="D102" s="68"/>
      <c r="E102" s="132"/>
      <c r="F102" s="201"/>
      <c r="G102" s="92"/>
    </row>
    <row r="103" spans="3:7" customFormat="1" x14ac:dyDescent="0.2">
      <c r="C103" s="68"/>
      <c r="D103" s="68"/>
      <c r="E103" s="132"/>
      <c r="F103" s="201"/>
      <c r="G103" s="92"/>
    </row>
    <row r="104" spans="3:7" customFormat="1" x14ac:dyDescent="0.2">
      <c r="C104" s="68"/>
      <c r="D104" s="68"/>
      <c r="E104" s="132"/>
      <c r="F104" s="201"/>
      <c r="G104" s="92"/>
    </row>
    <row r="105" spans="3:7" customFormat="1" x14ac:dyDescent="0.2">
      <c r="C105" s="68"/>
      <c r="D105" s="68"/>
      <c r="E105" s="132"/>
      <c r="F105" s="201"/>
      <c r="G105" s="92"/>
    </row>
    <row r="106" spans="3:7" customFormat="1" x14ac:dyDescent="0.2">
      <c r="C106" s="68"/>
      <c r="D106" s="68"/>
      <c r="E106" s="132"/>
      <c r="F106" s="201"/>
      <c r="G106" s="92"/>
    </row>
    <row r="107" spans="3:7" customFormat="1" x14ac:dyDescent="0.2">
      <c r="C107" s="68"/>
      <c r="D107" s="68"/>
      <c r="E107" s="132"/>
      <c r="F107" s="201"/>
      <c r="G107" s="92"/>
    </row>
    <row r="108" spans="3:7" customFormat="1" x14ac:dyDescent="0.2">
      <c r="C108" s="68"/>
      <c r="D108" s="68"/>
      <c r="E108" s="132"/>
      <c r="F108" s="201"/>
      <c r="G108" s="92"/>
    </row>
    <row r="109" spans="3:7" customFormat="1" x14ac:dyDescent="0.2">
      <c r="C109" s="68"/>
      <c r="D109" s="68"/>
      <c r="E109" s="132"/>
      <c r="F109" s="201"/>
      <c r="G109" s="92"/>
    </row>
    <row r="110" spans="3:7" customFormat="1" x14ac:dyDescent="0.2">
      <c r="C110" s="68"/>
      <c r="D110" s="68"/>
      <c r="E110" s="132"/>
      <c r="F110" s="201"/>
      <c r="G110" s="92"/>
    </row>
    <row r="111" spans="3:7" customFormat="1" x14ac:dyDescent="0.2">
      <c r="C111" s="68"/>
      <c r="D111" s="68"/>
      <c r="E111" s="132"/>
      <c r="F111" s="201"/>
      <c r="G111" s="92"/>
    </row>
    <row r="112" spans="3:7" customFormat="1" x14ac:dyDescent="0.2">
      <c r="C112" s="68"/>
      <c r="D112" s="68"/>
      <c r="E112" s="132"/>
      <c r="F112" s="201"/>
      <c r="G112" s="92"/>
    </row>
    <row r="113" spans="3:7" customFormat="1" x14ac:dyDescent="0.2">
      <c r="C113" s="68"/>
      <c r="D113" s="68"/>
      <c r="E113" s="132"/>
      <c r="F113" s="201"/>
      <c r="G113" s="92"/>
    </row>
    <row r="114" spans="3:7" customFormat="1" x14ac:dyDescent="0.2">
      <c r="C114" s="68"/>
      <c r="D114" s="68"/>
      <c r="E114" s="132"/>
      <c r="F114" s="201"/>
      <c r="G114" s="92"/>
    </row>
    <row r="115" spans="3:7" customFormat="1" x14ac:dyDescent="0.2">
      <c r="C115" s="68"/>
      <c r="D115" s="68"/>
      <c r="E115" s="132"/>
      <c r="F115" s="201"/>
      <c r="G115" s="92"/>
    </row>
    <row r="116" spans="3:7" customFormat="1" x14ac:dyDescent="0.2">
      <c r="C116" s="68"/>
      <c r="D116" s="68"/>
      <c r="E116" s="132"/>
      <c r="F116" s="201"/>
      <c r="G116" s="92"/>
    </row>
    <row r="117" spans="3:7" customFormat="1" x14ac:dyDescent="0.2">
      <c r="C117" s="68"/>
      <c r="D117" s="68"/>
      <c r="E117" s="132"/>
      <c r="F117" s="201"/>
      <c r="G117" s="92"/>
    </row>
    <row r="118" spans="3:7" customFormat="1" x14ac:dyDescent="0.2">
      <c r="C118" s="68"/>
      <c r="D118" s="68"/>
      <c r="E118" s="132"/>
      <c r="F118" s="201"/>
      <c r="G118" s="92"/>
    </row>
    <row r="119" spans="3:7" customFormat="1" x14ac:dyDescent="0.2">
      <c r="C119" s="68"/>
      <c r="D119" s="68"/>
      <c r="E119" s="132"/>
      <c r="F119" s="201"/>
      <c r="G119" s="92"/>
    </row>
    <row r="120" spans="3:7" customFormat="1" x14ac:dyDescent="0.2">
      <c r="C120" s="68"/>
      <c r="D120" s="68"/>
      <c r="E120" s="132"/>
      <c r="F120" s="201"/>
      <c r="G120" s="92"/>
    </row>
    <row r="121" spans="3:7" customFormat="1" x14ac:dyDescent="0.2">
      <c r="C121" s="68"/>
      <c r="D121" s="68"/>
      <c r="E121" s="132"/>
      <c r="F121" s="201"/>
      <c r="G121" s="92"/>
    </row>
    <row r="122" spans="3:7" customFormat="1" x14ac:dyDescent="0.2">
      <c r="C122" s="68"/>
      <c r="D122" s="68"/>
      <c r="E122" s="132"/>
      <c r="F122" s="201"/>
      <c r="G122" s="92"/>
    </row>
    <row r="123" spans="3:7" customFormat="1" x14ac:dyDescent="0.2">
      <c r="C123" s="68"/>
      <c r="D123" s="68"/>
      <c r="E123" s="132"/>
      <c r="F123" s="201"/>
      <c r="G123" s="92"/>
    </row>
    <row r="124" spans="3:7" customFormat="1" x14ac:dyDescent="0.2">
      <c r="C124" s="68"/>
      <c r="D124" s="68"/>
      <c r="E124" s="132"/>
      <c r="F124" s="201"/>
      <c r="G124" s="92"/>
    </row>
    <row r="125" spans="3:7" customFormat="1" x14ac:dyDescent="0.2">
      <c r="C125" s="68"/>
      <c r="D125" s="68"/>
      <c r="E125" s="132"/>
      <c r="F125" s="201"/>
      <c r="G125" s="92"/>
    </row>
    <row r="126" spans="3:7" customFormat="1" x14ac:dyDescent="0.2">
      <c r="C126" s="68"/>
      <c r="D126" s="68"/>
      <c r="E126" s="132"/>
      <c r="F126" s="201"/>
      <c r="G126" s="92"/>
    </row>
    <row r="127" spans="3:7" customFormat="1" x14ac:dyDescent="0.2">
      <c r="C127" s="68"/>
      <c r="D127" s="68"/>
      <c r="E127" s="132"/>
      <c r="F127" s="201"/>
      <c r="G127" s="92"/>
    </row>
    <row r="128" spans="3:7" customFormat="1" x14ac:dyDescent="0.2">
      <c r="C128" s="68"/>
      <c r="D128" s="68"/>
      <c r="E128" s="132"/>
      <c r="F128" s="201"/>
      <c r="G128" s="92"/>
    </row>
    <row r="129" spans="3:7" customFormat="1" x14ac:dyDescent="0.2">
      <c r="C129" s="68"/>
      <c r="D129" s="68"/>
      <c r="E129" s="132"/>
      <c r="F129" s="201"/>
      <c r="G129" s="92"/>
    </row>
    <row r="130" spans="3:7" customFormat="1" x14ac:dyDescent="0.2">
      <c r="C130" s="68"/>
      <c r="D130" s="68"/>
      <c r="E130" s="132"/>
      <c r="F130" s="201"/>
      <c r="G130" s="92"/>
    </row>
    <row r="131" spans="3:7" customFormat="1" x14ac:dyDescent="0.2">
      <c r="C131" s="68"/>
      <c r="D131" s="68"/>
      <c r="E131" s="132"/>
      <c r="F131" s="201"/>
      <c r="G131" s="92"/>
    </row>
    <row r="132" spans="3:7" customFormat="1" x14ac:dyDescent="0.2">
      <c r="C132" s="68"/>
      <c r="D132" s="68"/>
      <c r="E132" s="132"/>
      <c r="F132" s="201"/>
      <c r="G132" s="92"/>
    </row>
    <row r="133" spans="3:7" customFormat="1" x14ac:dyDescent="0.2">
      <c r="C133" s="68"/>
      <c r="D133" s="68"/>
      <c r="E133" s="132"/>
      <c r="F133" s="201"/>
      <c r="G133" s="92"/>
    </row>
    <row r="134" spans="3:7" customFormat="1" x14ac:dyDescent="0.2">
      <c r="C134" s="68"/>
      <c r="D134" s="68"/>
      <c r="E134" s="132"/>
      <c r="F134" s="201"/>
      <c r="G134" s="92"/>
    </row>
    <row r="135" spans="3:7" customFormat="1" x14ac:dyDescent="0.2">
      <c r="C135" s="68"/>
      <c r="D135" s="68"/>
      <c r="E135" s="132"/>
      <c r="F135" s="201"/>
      <c r="G135" s="92"/>
    </row>
    <row r="136" spans="3:7" customFormat="1" x14ac:dyDescent="0.2">
      <c r="C136" s="68"/>
      <c r="D136" s="68"/>
      <c r="E136" s="132"/>
      <c r="F136" s="201"/>
      <c r="G136" s="92"/>
    </row>
    <row r="137" spans="3:7" customFormat="1" x14ac:dyDescent="0.2">
      <c r="C137" s="68"/>
      <c r="D137" s="68"/>
      <c r="E137" s="132"/>
      <c r="F137" s="201"/>
      <c r="G137" s="92"/>
    </row>
    <row r="138" spans="3:7" customFormat="1" x14ac:dyDescent="0.2">
      <c r="C138" s="68"/>
      <c r="D138" s="68"/>
      <c r="E138" s="132"/>
      <c r="F138" s="201"/>
      <c r="G138" s="92"/>
    </row>
    <row r="139" spans="3:7" customFormat="1" x14ac:dyDescent="0.2">
      <c r="C139" s="68"/>
      <c r="D139" s="68"/>
      <c r="E139" s="132"/>
      <c r="F139" s="201"/>
      <c r="G139" s="92"/>
    </row>
    <row r="140" spans="3:7" customFormat="1" x14ac:dyDescent="0.2">
      <c r="C140" s="68"/>
      <c r="D140" s="68"/>
      <c r="E140" s="132"/>
      <c r="F140" s="201"/>
      <c r="G140" s="92"/>
    </row>
    <row r="141" spans="3:7" customFormat="1" x14ac:dyDescent="0.2">
      <c r="C141" s="68"/>
      <c r="D141" s="68"/>
      <c r="E141" s="132"/>
      <c r="F141" s="201"/>
      <c r="G141" s="92"/>
    </row>
    <row r="142" spans="3:7" customFormat="1" x14ac:dyDescent="0.2">
      <c r="C142" s="68"/>
      <c r="D142" s="68"/>
      <c r="E142" s="132"/>
      <c r="F142" s="201"/>
      <c r="G142" s="92"/>
    </row>
    <row r="143" spans="3:7" customFormat="1" x14ac:dyDescent="0.2">
      <c r="C143" s="68"/>
      <c r="D143" s="68"/>
      <c r="E143" s="132"/>
      <c r="F143" s="201"/>
      <c r="G143" s="92"/>
    </row>
    <row r="144" spans="3:7" customFormat="1" x14ac:dyDescent="0.2">
      <c r="C144" s="68"/>
      <c r="D144" s="68"/>
      <c r="E144" s="132"/>
      <c r="F144" s="201"/>
      <c r="G144" s="92"/>
    </row>
    <row r="145" spans="3:7" customFormat="1" x14ac:dyDescent="0.2">
      <c r="C145" s="68"/>
      <c r="D145" s="68"/>
      <c r="E145" s="132"/>
      <c r="F145" s="201"/>
      <c r="G145" s="92"/>
    </row>
    <row r="146" spans="3:7" customFormat="1" x14ac:dyDescent="0.2">
      <c r="C146" s="68"/>
      <c r="D146" s="68"/>
      <c r="E146" s="132"/>
      <c r="F146" s="201"/>
      <c r="G146" s="92"/>
    </row>
    <row r="147" spans="3:7" customFormat="1" x14ac:dyDescent="0.2">
      <c r="C147" s="68"/>
      <c r="D147" s="68"/>
      <c r="E147" s="132"/>
      <c r="F147" s="201"/>
      <c r="G147" s="92"/>
    </row>
    <row r="148" spans="3:7" customFormat="1" x14ac:dyDescent="0.2">
      <c r="C148" s="68"/>
      <c r="D148" s="68"/>
      <c r="E148" s="132"/>
      <c r="F148" s="201"/>
      <c r="G148" s="92"/>
    </row>
    <row r="149" spans="3:7" customFormat="1" x14ac:dyDescent="0.2">
      <c r="C149" s="68"/>
      <c r="D149" s="68"/>
      <c r="E149" s="132"/>
      <c r="F149" s="201"/>
      <c r="G149" s="92"/>
    </row>
    <row r="150" spans="3:7" customFormat="1" x14ac:dyDescent="0.2">
      <c r="C150" s="68"/>
      <c r="D150" s="68"/>
      <c r="E150" s="132"/>
      <c r="F150" s="201"/>
      <c r="G150" s="92"/>
    </row>
    <row r="151" spans="3:7" customFormat="1" x14ac:dyDescent="0.2">
      <c r="C151" s="68"/>
      <c r="D151" s="68"/>
      <c r="E151" s="132"/>
      <c r="F151" s="201"/>
      <c r="G151" s="92"/>
    </row>
    <row r="152" spans="3:7" customFormat="1" x14ac:dyDescent="0.2">
      <c r="C152" s="68"/>
      <c r="D152" s="68"/>
      <c r="E152" s="132"/>
      <c r="F152" s="201"/>
      <c r="G152" s="92"/>
    </row>
    <row r="153" spans="3:7" customFormat="1" x14ac:dyDescent="0.2">
      <c r="C153" s="68"/>
      <c r="D153" s="68"/>
      <c r="E153" s="132"/>
      <c r="F153" s="201"/>
      <c r="G153" s="92"/>
    </row>
    <row r="154" spans="3:7" customFormat="1" x14ac:dyDescent="0.2">
      <c r="C154" s="68"/>
      <c r="D154" s="68"/>
      <c r="E154" s="132"/>
      <c r="F154" s="201"/>
      <c r="G154" s="92"/>
    </row>
    <row r="155" spans="3:7" customFormat="1" x14ac:dyDescent="0.2">
      <c r="C155" s="68"/>
      <c r="D155" s="68"/>
      <c r="E155" s="132"/>
      <c r="F155" s="201"/>
      <c r="G155" s="92"/>
    </row>
    <row r="156" spans="3:7" customFormat="1" x14ac:dyDescent="0.2">
      <c r="C156" s="68"/>
      <c r="D156" s="68"/>
      <c r="E156" s="132"/>
      <c r="F156" s="201"/>
      <c r="G156" s="92"/>
    </row>
    <row r="157" spans="3:7" customFormat="1" x14ac:dyDescent="0.2">
      <c r="C157" s="68"/>
      <c r="D157" s="68"/>
      <c r="E157" s="132"/>
      <c r="F157" s="201"/>
      <c r="G157" s="92"/>
    </row>
    <row r="158" spans="3:7" customFormat="1" x14ac:dyDescent="0.2">
      <c r="C158" s="68"/>
      <c r="D158" s="68"/>
      <c r="E158" s="132"/>
      <c r="F158" s="201"/>
      <c r="G158" s="92"/>
    </row>
    <row r="159" spans="3:7" customFormat="1" x14ac:dyDescent="0.2">
      <c r="C159" s="68"/>
      <c r="D159" s="68"/>
      <c r="E159" s="132"/>
      <c r="F159" s="201"/>
      <c r="G159" s="92"/>
    </row>
    <row r="160" spans="3:7" customFormat="1" x14ac:dyDescent="0.2">
      <c r="C160" s="68"/>
      <c r="D160" s="68"/>
      <c r="E160" s="132"/>
      <c r="F160" s="201"/>
      <c r="G160" s="92"/>
    </row>
    <row r="161" spans="3:7" customFormat="1" x14ac:dyDescent="0.2">
      <c r="C161" s="68"/>
      <c r="D161" s="68"/>
      <c r="E161" s="132"/>
      <c r="F161" s="201"/>
      <c r="G161" s="92"/>
    </row>
    <row r="162" spans="3:7" customFormat="1" x14ac:dyDescent="0.2">
      <c r="C162" s="68"/>
      <c r="D162" s="68"/>
      <c r="E162" s="132"/>
      <c r="F162" s="201"/>
      <c r="G162" s="92"/>
    </row>
    <row r="163" spans="3:7" customFormat="1" x14ac:dyDescent="0.2">
      <c r="C163" s="68"/>
      <c r="D163" s="68"/>
      <c r="E163" s="132"/>
      <c r="F163" s="201"/>
      <c r="G163" s="92"/>
    </row>
    <row r="164" spans="3:7" customFormat="1" x14ac:dyDescent="0.2">
      <c r="C164" s="68"/>
      <c r="D164" s="68"/>
      <c r="E164" s="132"/>
      <c r="F164" s="201"/>
      <c r="G164" s="92"/>
    </row>
    <row r="165" spans="3:7" customFormat="1" x14ac:dyDescent="0.2">
      <c r="C165" s="68"/>
      <c r="D165" s="68"/>
      <c r="E165" s="132"/>
      <c r="F165" s="201"/>
      <c r="G165" s="92"/>
    </row>
    <row r="166" spans="3:7" customFormat="1" x14ac:dyDescent="0.2">
      <c r="C166" s="68"/>
      <c r="D166" s="68"/>
      <c r="E166" s="132"/>
      <c r="F166" s="201"/>
      <c r="G166" s="92"/>
    </row>
    <row r="167" spans="3:7" customFormat="1" x14ac:dyDescent="0.2">
      <c r="C167" s="68"/>
      <c r="D167" s="68"/>
      <c r="E167" s="132"/>
      <c r="F167" s="201"/>
      <c r="G167" s="92"/>
    </row>
    <row r="168" spans="3:7" customFormat="1" x14ac:dyDescent="0.2">
      <c r="C168" s="68"/>
      <c r="D168" s="68"/>
      <c r="E168" s="132"/>
      <c r="F168" s="201"/>
      <c r="G168" s="92"/>
    </row>
    <row r="169" spans="3:7" customFormat="1" x14ac:dyDescent="0.2">
      <c r="C169" s="68"/>
      <c r="D169" s="68"/>
      <c r="E169" s="132"/>
      <c r="F169" s="201"/>
      <c r="G169" s="92"/>
    </row>
    <row r="170" spans="3:7" customFormat="1" x14ac:dyDescent="0.2">
      <c r="C170" s="68"/>
      <c r="D170" s="68"/>
      <c r="E170" s="132"/>
      <c r="F170" s="201"/>
      <c r="G170" s="92"/>
    </row>
    <row r="171" spans="3:7" customFormat="1" x14ac:dyDescent="0.2">
      <c r="C171" s="68"/>
      <c r="D171" s="68"/>
      <c r="E171" s="132"/>
      <c r="F171" s="201"/>
      <c r="G171" s="92"/>
    </row>
    <row r="172" spans="3:7" customFormat="1" x14ac:dyDescent="0.2">
      <c r="C172" s="68"/>
      <c r="D172" s="68"/>
      <c r="E172" s="132"/>
      <c r="F172" s="201"/>
      <c r="G172" s="92"/>
    </row>
    <row r="173" spans="3:7" customFormat="1" x14ac:dyDescent="0.2">
      <c r="C173" s="68"/>
      <c r="D173" s="68"/>
      <c r="E173" s="132"/>
      <c r="F173" s="201"/>
      <c r="G173" s="92"/>
    </row>
    <row r="174" spans="3:7" customFormat="1" x14ac:dyDescent="0.2">
      <c r="C174" s="68"/>
      <c r="D174" s="68"/>
      <c r="E174" s="132"/>
      <c r="F174" s="201"/>
      <c r="G174" s="92"/>
    </row>
    <row r="175" spans="3:7" customFormat="1" x14ac:dyDescent="0.2">
      <c r="C175" s="68"/>
      <c r="D175" s="68"/>
      <c r="E175" s="132"/>
      <c r="F175" s="201"/>
      <c r="G175" s="92"/>
    </row>
    <row r="176" spans="3:7" customFormat="1" x14ac:dyDescent="0.2">
      <c r="C176" s="68"/>
      <c r="D176" s="68"/>
      <c r="E176" s="132"/>
      <c r="F176" s="201"/>
      <c r="G176" s="92"/>
    </row>
    <row r="177" spans="3:7" customFormat="1" x14ac:dyDescent="0.2">
      <c r="C177" s="68"/>
      <c r="D177" s="68"/>
      <c r="E177" s="132"/>
      <c r="F177" s="201"/>
      <c r="G177" s="92"/>
    </row>
    <row r="178" spans="3:7" customFormat="1" x14ac:dyDescent="0.2">
      <c r="C178" s="68"/>
      <c r="D178" s="68"/>
      <c r="E178" s="132"/>
      <c r="F178" s="201"/>
      <c r="G178" s="92"/>
    </row>
    <row r="179" spans="3:7" customFormat="1" x14ac:dyDescent="0.2">
      <c r="C179" s="68"/>
      <c r="D179" s="68"/>
      <c r="E179" s="132"/>
      <c r="F179" s="201"/>
      <c r="G179" s="92"/>
    </row>
    <row r="180" spans="3:7" customFormat="1" x14ac:dyDescent="0.2">
      <c r="C180" s="68"/>
      <c r="D180" s="68"/>
      <c r="E180" s="132"/>
      <c r="F180" s="201"/>
      <c r="G180" s="92"/>
    </row>
    <row r="181" spans="3:7" customFormat="1" x14ac:dyDescent="0.2">
      <c r="C181" s="68"/>
      <c r="D181" s="68"/>
      <c r="E181" s="132"/>
      <c r="F181" s="201"/>
      <c r="G181" s="92"/>
    </row>
    <row r="182" spans="3:7" customFormat="1" x14ac:dyDescent="0.2">
      <c r="C182" s="68"/>
      <c r="D182" s="68"/>
      <c r="E182" s="132"/>
      <c r="F182" s="201"/>
      <c r="G182" s="92"/>
    </row>
    <row r="183" spans="3:7" customFormat="1" x14ac:dyDescent="0.2">
      <c r="C183" s="68"/>
      <c r="D183" s="68"/>
      <c r="E183" s="132"/>
      <c r="F183" s="201"/>
      <c r="G183" s="92"/>
    </row>
    <row r="184" spans="3:7" customFormat="1" x14ac:dyDescent="0.2">
      <c r="C184" s="68"/>
      <c r="D184" s="68"/>
      <c r="E184" s="132"/>
      <c r="F184" s="201"/>
      <c r="G184" s="92"/>
    </row>
    <row r="185" spans="3:7" customFormat="1" x14ac:dyDescent="0.2">
      <c r="C185" s="68"/>
      <c r="D185" s="68"/>
      <c r="E185" s="132"/>
      <c r="F185" s="201"/>
      <c r="G185" s="92"/>
    </row>
    <row r="186" spans="3:7" customFormat="1" x14ac:dyDescent="0.2">
      <c r="C186" s="68"/>
      <c r="D186" s="68"/>
      <c r="E186" s="132"/>
      <c r="F186" s="201"/>
      <c r="G186" s="92"/>
    </row>
    <row r="187" spans="3:7" customFormat="1" x14ac:dyDescent="0.2">
      <c r="C187" s="68"/>
      <c r="D187" s="68"/>
      <c r="E187" s="132"/>
      <c r="F187" s="201"/>
      <c r="G187" s="92"/>
    </row>
    <row r="188" spans="3:7" customFormat="1" x14ac:dyDescent="0.2">
      <c r="C188" s="68"/>
      <c r="D188" s="68"/>
      <c r="E188" s="132"/>
      <c r="F188" s="201"/>
      <c r="G188" s="92"/>
    </row>
    <row r="189" spans="3:7" customFormat="1" x14ac:dyDescent="0.2">
      <c r="C189" s="68"/>
      <c r="D189" s="68"/>
      <c r="E189" s="132"/>
      <c r="F189" s="201"/>
      <c r="G189" s="92"/>
    </row>
    <row r="190" spans="3:7" customFormat="1" x14ac:dyDescent="0.2">
      <c r="C190" s="68"/>
      <c r="D190" s="68"/>
      <c r="E190" s="132"/>
      <c r="F190" s="201"/>
      <c r="G190" s="92"/>
    </row>
    <row r="191" spans="3:7" customFormat="1" x14ac:dyDescent="0.2">
      <c r="C191" s="68"/>
      <c r="D191" s="68"/>
      <c r="E191" s="132"/>
      <c r="F191" s="201"/>
      <c r="G191" s="92"/>
    </row>
    <row r="192" spans="3:7" customFormat="1" x14ac:dyDescent="0.2">
      <c r="C192" s="68"/>
      <c r="D192" s="68"/>
      <c r="E192" s="132"/>
      <c r="F192" s="201"/>
      <c r="G192" s="92"/>
    </row>
    <row r="193" spans="3:7" customFormat="1" x14ac:dyDescent="0.2">
      <c r="C193" s="68"/>
      <c r="D193" s="68"/>
      <c r="E193" s="132"/>
      <c r="F193" s="201"/>
      <c r="G193" s="92"/>
    </row>
    <row r="194" spans="3:7" customFormat="1" x14ac:dyDescent="0.2">
      <c r="C194" s="68"/>
      <c r="D194" s="68"/>
      <c r="E194" s="132"/>
      <c r="F194" s="201"/>
      <c r="G194" s="92"/>
    </row>
    <row r="195" spans="3:7" customFormat="1" x14ac:dyDescent="0.2">
      <c r="C195" s="68"/>
      <c r="D195" s="68"/>
      <c r="E195" s="132"/>
      <c r="F195" s="201"/>
      <c r="G195" s="92"/>
    </row>
    <row r="196" spans="3:7" customFormat="1" x14ac:dyDescent="0.2">
      <c r="C196" s="68"/>
      <c r="D196" s="68"/>
      <c r="E196" s="132"/>
      <c r="F196" s="201"/>
      <c r="G196" s="92"/>
    </row>
    <row r="197" spans="3:7" customFormat="1" x14ac:dyDescent="0.2">
      <c r="C197" s="68"/>
      <c r="D197" s="68"/>
      <c r="E197" s="132"/>
      <c r="F197" s="201"/>
      <c r="G197" s="92"/>
    </row>
    <row r="198" spans="3:7" customFormat="1" x14ac:dyDescent="0.2">
      <c r="C198" s="68"/>
      <c r="D198" s="68"/>
      <c r="E198" s="132"/>
      <c r="F198" s="201"/>
      <c r="G198" s="92"/>
    </row>
    <row r="199" spans="3:7" customFormat="1" x14ac:dyDescent="0.2">
      <c r="C199" s="68"/>
      <c r="D199" s="68"/>
      <c r="E199" s="132"/>
      <c r="F199" s="201"/>
      <c r="G199" s="92"/>
    </row>
    <row r="200" spans="3:7" customFormat="1" x14ac:dyDescent="0.2">
      <c r="C200" s="68"/>
      <c r="D200" s="68"/>
      <c r="E200" s="132"/>
      <c r="F200" s="201"/>
      <c r="G200" s="92"/>
    </row>
    <row r="201" spans="3:7" customFormat="1" x14ac:dyDescent="0.2">
      <c r="C201" s="68"/>
      <c r="D201" s="68"/>
      <c r="E201" s="132"/>
      <c r="F201" s="201"/>
      <c r="G201" s="92"/>
    </row>
    <row r="202" spans="3:7" customFormat="1" x14ac:dyDescent="0.2">
      <c r="C202" s="68"/>
      <c r="D202" s="68"/>
      <c r="E202" s="132"/>
      <c r="F202" s="201"/>
      <c r="G202" s="92"/>
    </row>
    <row r="203" spans="3:7" customFormat="1" x14ac:dyDescent="0.2">
      <c r="C203" s="68"/>
      <c r="D203" s="68"/>
      <c r="E203" s="132"/>
      <c r="F203" s="201"/>
      <c r="G203" s="92"/>
    </row>
    <row r="204" spans="3:7" customFormat="1" x14ac:dyDescent="0.2">
      <c r="C204" s="68"/>
      <c r="D204" s="68"/>
      <c r="E204" s="132"/>
      <c r="F204" s="201"/>
      <c r="G204" s="92"/>
    </row>
    <row r="205" spans="3:7" customFormat="1" x14ac:dyDescent="0.2">
      <c r="C205" s="68"/>
      <c r="D205" s="68"/>
      <c r="E205" s="132"/>
      <c r="F205" s="201"/>
      <c r="G205" s="92"/>
    </row>
    <row r="206" spans="3:7" customFormat="1" x14ac:dyDescent="0.2">
      <c r="C206" s="68"/>
      <c r="D206" s="68"/>
      <c r="E206" s="132"/>
      <c r="F206" s="201"/>
      <c r="G206" s="92"/>
    </row>
    <row r="207" spans="3:7" customFormat="1" x14ac:dyDescent="0.2">
      <c r="C207" s="68"/>
      <c r="D207" s="68"/>
      <c r="E207" s="132"/>
      <c r="F207" s="201"/>
      <c r="G207" s="92"/>
    </row>
    <row r="208" spans="3:7" customFormat="1" x14ac:dyDescent="0.2">
      <c r="C208" s="68"/>
      <c r="D208" s="68"/>
      <c r="E208" s="132"/>
      <c r="F208" s="201"/>
      <c r="G208" s="92"/>
    </row>
    <row r="209" spans="3:7" customFormat="1" x14ac:dyDescent="0.2">
      <c r="C209" s="68"/>
      <c r="D209" s="68"/>
      <c r="E209" s="132"/>
      <c r="F209" s="201"/>
      <c r="G209" s="92"/>
    </row>
    <row r="210" spans="3:7" customFormat="1" x14ac:dyDescent="0.2">
      <c r="C210" s="68"/>
      <c r="D210" s="68"/>
      <c r="E210" s="132"/>
      <c r="F210" s="201"/>
      <c r="G210" s="92"/>
    </row>
    <row r="211" spans="3:7" customFormat="1" x14ac:dyDescent="0.2">
      <c r="C211" s="68"/>
      <c r="D211" s="68"/>
      <c r="E211" s="132"/>
      <c r="F211" s="201"/>
      <c r="G211" s="92"/>
    </row>
    <row r="212" spans="3:7" customFormat="1" x14ac:dyDescent="0.2">
      <c r="C212" s="68"/>
      <c r="D212" s="68"/>
      <c r="E212" s="132"/>
      <c r="F212" s="201"/>
      <c r="G212" s="92"/>
    </row>
    <row r="213" spans="3:7" customFormat="1" x14ac:dyDescent="0.2">
      <c r="C213" s="68"/>
      <c r="D213" s="68"/>
      <c r="E213" s="132"/>
      <c r="F213" s="201"/>
      <c r="G213" s="92"/>
    </row>
    <row r="214" spans="3:7" customFormat="1" x14ac:dyDescent="0.2">
      <c r="C214" s="68"/>
      <c r="D214" s="68"/>
      <c r="E214" s="132"/>
      <c r="F214" s="201"/>
      <c r="G214" s="92"/>
    </row>
    <row r="215" spans="3:7" customFormat="1" x14ac:dyDescent="0.2">
      <c r="C215" s="68"/>
      <c r="D215" s="68"/>
      <c r="E215" s="132"/>
      <c r="F215" s="201"/>
      <c r="G215" s="92"/>
    </row>
    <row r="216" spans="3:7" customFormat="1" x14ac:dyDescent="0.2">
      <c r="C216" s="68"/>
      <c r="D216" s="68"/>
      <c r="E216" s="132"/>
      <c r="F216" s="201"/>
      <c r="G216" s="92"/>
    </row>
    <row r="217" spans="3:7" customFormat="1" x14ac:dyDescent="0.2">
      <c r="C217" s="68"/>
      <c r="D217" s="68"/>
      <c r="E217" s="132"/>
      <c r="F217" s="201"/>
      <c r="G217" s="92"/>
    </row>
    <row r="218" spans="3:7" customFormat="1" x14ac:dyDescent="0.2">
      <c r="C218" s="68"/>
      <c r="D218" s="68"/>
      <c r="E218" s="132"/>
      <c r="F218" s="201"/>
      <c r="G218" s="92"/>
    </row>
    <row r="219" spans="3:7" customFormat="1" x14ac:dyDescent="0.2">
      <c r="C219" s="68"/>
      <c r="D219" s="68"/>
      <c r="E219" s="132"/>
      <c r="F219" s="201"/>
      <c r="G219" s="92"/>
    </row>
    <row r="220" spans="3:7" customFormat="1" x14ac:dyDescent="0.2">
      <c r="C220" s="68"/>
      <c r="D220" s="68"/>
      <c r="E220" s="132"/>
      <c r="F220" s="201"/>
      <c r="G220" s="92"/>
    </row>
    <row r="221" spans="3:7" customFormat="1" x14ac:dyDescent="0.2">
      <c r="C221" s="68"/>
      <c r="D221" s="68"/>
      <c r="E221" s="132"/>
      <c r="F221" s="201"/>
      <c r="G221" s="92"/>
    </row>
    <row r="222" spans="3:7" customFormat="1" x14ac:dyDescent="0.2">
      <c r="C222" s="68"/>
      <c r="D222" s="68"/>
      <c r="E222" s="132"/>
      <c r="F222" s="201"/>
      <c r="G222" s="92"/>
    </row>
    <row r="223" spans="3:7" customFormat="1" x14ac:dyDescent="0.2">
      <c r="C223" s="68"/>
      <c r="D223" s="68"/>
      <c r="E223" s="132"/>
      <c r="F223" s="201"/>
      <c r="G223" s="92"/>
    </row>
    <row r="224" spans="3:7" customFormat="1" x14ac:dyDescent="0.2">
      <c r="C224" s="68"/>
      <c r="D224" s="68"/>
      <c r="E224" s="132"/>
      <c r="F224" s="201"/>
      <c r="G224" s="92"/>
    </row>
    <row r="225" spans="3:7" customFormat="1" x14ac:dyDescent="0.2">
      <c r="C225" s="68"/>
      <c r="D225" s="68"/>
      <c r="E225" s="132"/>
      <c r="F225" s="201"/>
      <c r="G225" s="92"/>
    </row>
    <row r="226" spans="3:7" customFormat="1" x14ac:dyDescent="0.2">
      <c r="C226" s="68"/>
      <c r="D226" s="68"/>
      <c r="E226" s="132"/>
      <c r="F226" s="201"/>
      <c r="G226" s="92"/>
    </row>
    <row r="227" spans="3:7" customFormat="1" x14ac:dyDescent="0.2">
      <c r="C227" s="68"/>
      <c r="D227" s="68"/>
      <c r="E227" s="132"/>
      <c r="F227" s="201"/>
      <c r="G227" s="92"/>
    </row>
    <row r="228" spans="3:7" customFormat="1" x14ac:dyDescent="0.2">
      <c r="C228" s="68"/>
      <c r="D228" s="68"/>
      <c r="E228" s="132"/>
      <c r="F228" s="201"/>
      <c r="G228" s="92"/>
    </row>
    <row r="229" spans="3:7" customFormat="1" x14ac:dyDescent="0.2">
      <c r="C229" s="68"/>
      <c r="D229" s="68"/>
      <c r="E229" s="132"/>
      <c r="F229" s="201"/>
      <c r="G229" s="92"/>
    </row>
    <row r="230" spans="3:7" customFormat="1" x14ac:dyDescent="0.2">
      <c r="C230" s="68"/>
      <c r="D230" s="68"/>
      <c r="E230" s="132"/>
      <c r="F230" s="201"/>
      <c r="G230" s="92"/>
    </row>
    <row r="231" spans="3:7" customFormat="1" x14ac:dyDescent="0.2">
      <c r="C231" s="68"/>
      <c r="D231" s="68"/>
      <c r="E231" s="132"/>
      <c r="F231" s="201"/>
      <c r="G231" s="92"/>
    </row>
    <row r="232" spans="3:7" customFormat="1" x14ac:dyDescent="0.2">
      <c r="C232" s="68"/>
      <c r="D232" s="68"/>
      <c r="E232" s="132"/>
      <c r="F232" s="201"/>
      <c r="G232" s="92"/>
    </row>
    <row r="233" spans="3:7" customFormat="1" x14ac:dyDescent="0.2">
      <c r="C233" s="68"/>
      <c r="D233" s="68"/>
      <c r="E233" s="132"/>
      <c r="F233" s="201"/>
      <c r="G233" s="92"/>
    </row>
    <row r="234" spans="3:7" customFormat="1" x14ac:dyDescent="0.2">
      <c r="C234" s="68"/>
      <c r="D234" s="68"/>
      <c r="E234" s="132"/>
      <c r="F234" s="201"/>
      <c r="G234" s="92"/>
    </row>
    <row r="235" spans="3:7" customFormat="1" x14ac:dyDescent="0.2">
      <c r="C235" s="68"/>
      <c r="D235" s="68"/>
      <c r="E235" s="132"/>
      <c r="F235" s="201"/>
      <c r="G235" s="92"/>
    </row>
    <row r="236" spans="3:7" customFormat="1" x14ac:dyDescent="0.2">
      <c r="C236" s="68"/>
      <c r="D236" s="68"/>
      <c r="E236" s="132"/>
      <c r="F236" s="201"/>
      <c r="G236" s="92"/>
    </row>
    <row r="237" spans="3:7" customFormat="1" x14ac:dyDescent="0.2">
      <c r="C237" s="68"/>
      <c r="D237" s="68"/>
      <c r="E237" s="132"/>
      <c r="F237" s="201"/>
      <c r="G237" s="92"/>
    </row>
    <row r="238" spans="3:7" customFormat="1" x14ac:dyDescent="0.2">
      <c r="C238" s="68"/>
      <c r="D238" s="68"/>
      <c r="E238" s="132"/>
      <c r="F238" s="201"/>
      <c r="G238" s="92"/>
    </row>
    <row r="239" spans="3:7" customFormat="1" x14ac:dyDescent="0.2">
      <c r="C239" s="68"/>
      <c r="D239" s="68"/>
      <c r="E239" s="132"/>
      <c r="F239" s="201"/>
      <c r="G239" s="92"/>
    </row>
    <row r="240" spans="3:7" customFormat="1" x14ac:dyDescent="0.2">
      <c r="C240" s="68"/>
      <c r="D240" s="68"/>
      <c r="E240" s="132"/>
      <c r="F240" s="201"/>
      <c r="G240" s="92"/>
    </row>
    <row r="241" spans="3:7" customFormat="1" x14ac:dyDescent="0.2">
      <c r="C241" s="68"/>
      <c r="D241" s="68"/>
      <c r="E241" s="132"/>
      <c r="F241" s="201"/>
      <c r="G241" s="92"/>
    </row>
    <row r="242" spans="3:7" customFormat="1" x14ac:dyDescent="0.2">
      <c r="C242" s="68"/>
      <c r="D242" s="68"/>
      <c r="E242" s="132"/>
      <c r="F242" s="201"/>
      <c r="G242" s="92"/>
    </row>
    <row r="243" spans="3:7" customFormat="1" x14ac:dyDescent="0.2">
      <c r="C243" s="68"/>
      <c r="D243" s="68"/>
      <c r="E243" s="132"/>
      <c r="F243" s="201"/>
      <c r="G243" s="92"/>
    </row>
    <row r="244" spans="3:7" customFormat="1" x14ac:dyDescent="0.2">
      <c r="C244" s="68"/>
      <c r="D244" s="68"/>
      <c r="E244" s="132"/>
      <c r="F244" s="201"/>
      <c r="G244" s="92"/>
    </row>
    <row r="245" spans="3:7" customFormat="1" x14ac:dyDescent="0.2">
      <c r="C245" s="68"/>
      <c r="D245" s="68"/>
      <c r="E245" s="132"/>
      <c r="F245" s="201"/>
      <c r="G245" s="92"/>
    </row>
    <row r="246" spans="3:7" customFormat="1" x14ac:dyDescent="0.2">
      <c r="C246" s="68"/>
      <c r="D246" s="68"/>
      <c r="E246" s="132"/>
      <c r="F246" s="201"/>
      <c r="G246" s="92"/>
    </row>
    <row r="247" spans="3:7" customFormat="1" x14ac:dyDescent="0.2">
      <c r="C247" s="68"/>
      <c r="D247" s="68"/>
      <c r="E247" s="132"/>
      <c r="F247" s="201"/>
      <c r="G247" s="92"/>
    </row>
    <row r="248" spans="3:7" customFormat="1" x14ac:dyDescent="0.2">
      <c r="C248" s="68"/>
      <c r="D248" s="68"/>
      <c r="E248" s="132"/>
      <c r="F248" s="201"/>
      <c r="G248" s="92"/>
    </row>
    <row r="249" spans="3:7" customFormat="1" x14ac:dyDescent="0.2">
      <c r="C249" s="68"/>
      <c r="D249" s="68"/>
      <c r="E249" s="132"/>
      <c r="F249" s="201"/>
      <c r="G249" s="92"/>
    </row>
    <row r="250" spans="3:7" customFormat="1" x14ac:dyDescent="0.2">
      <c r="C250" s="68"/>
      <c r="D250" s="68"/>
      <c r="E250" s="132"/>
      <c r="F250" s="201"/>
      <c r="G250" s="92"/>
    </row>
    <row r="251" spans="3:7" customFormat="1" x14ac:dyDescent="0.2">
      <c r="C251" s="68"/>
      <c r="D251" s="68"/>
      <c r="E251" s="132"/>
      <c r="F251" s="201"/>
      <c r="G251" s="92"/>
    </row>
    <row r="252" spans="3:7" customFormat="1" x14ac:dyDescent="0.2">
      <c r="C252" s="68"/>
      <c r="D252" s="68"/>
      <c r="E252" s="132"/>
      <c r="F252" s="201"/>
      <c r="G252" s="92"/>
    </row>
    <row r="253" spans="3:7" customFormat="1" x14ac:dyDescent="0.2">
      <c r="C253" s="68"/>
      <c r="D253" s="68"/>
      <c r="E253" s="132"/>
      <c r="F253" s="201"/>
      <c r="G253" s="92"/>
    </row>
    <row r="254" spans="3:7" customFormat="1" x14ac:dyDescent="0.2">
      <c r="C254" s="68"/>
      <c r="D254" s="68"/>
      <c r="E254" s="132"/>
      <c r="F254" s="201"/>
      <c r="G254" s="92"/>
    </row>
    <row r="255" spans="3:7" customFormat="1" x14ac:dyDescent="0.2">
      <c r="C255" s="68"/>
      <c r="D255" s="68"/>
      <c r="E255" s="132"/>
      <c r="F255" s="201"/>
      <c r="G255" s="92"/>
    </row>
    <row r="256" spans="3:7" customFormat="1" x14ac:dyDescent="0.2">
      <c r="C256" s="68"/>
      <c r="D256" s="68"/>
      <c r="E256" s="132"/>
      <c r="F256" s="201"/>
      <c r="G256" s="92"/>
    </row>
    <row r="257" spans="3:7" customFormat="1" x14ac:dyDescent="0.2">
      <c r="C257" s="68"/>
      <c r="D257" s="68"/>
      <c r="E257" s="132"/>
      <c r="F257" s="201"/>
      <c r="G257" s="92"/>
    </row>
    <row r="258" spans="3:7" customFormat="1" x14ac:dyDescent="0.2">
      <c r="C258" s="68"/>
      <c r="D258" s="68"/>
      <c r="E258" s="132"/>
      <c r="F258" s="201"/>
      <c r="G258" s="92"/>
    </row>
    <row r="259" spans="3:7" customFormat="1" x14ac:dyDescent="0.2">
      <c r="C259" s="68"/>
      <c r="D259" s="68"/>
      <c r="E259" s="132"/>
      <c r="F259" s="201"/>
      <c r="G259" s="92"/>
    </row>
    <row r="260" spans="3:7" customFormat="1" x14ac:dyDescent="0.2">
      <c r="C260" s="68"/>
      <c r="D260" s="68"/>
      <c r="E260" s="132"/>
      <c r="F260" s="201"/>
      <c r="G260" s="92"/>
    </row>
    <row r="261" spans="3:7" customFormat="1" x14ac:dyDescent="0.2">
      <c r="C261" s="68"/>
      <c r="D261" s="68"/>
      <c r="E261" s="132"/>
      <c r="F261" s="201"/>
      <c r="G261" s="92"/>
    </row>
    <row r="262" spans="3:7" customFormat="1" x14ac:dyDescent="0.2">
      <c r="C262" s="68"/>
      <c r="D262" s="68"/>
      <c r="E262" s="132"/>
      <c r="F262" s="201"/>
      <c r="G262" s="92"/>
    </row>
    <row r="263" spans="3:7" customFormat="1" x14ac:dyDescent="0.2">
      <c r="C263" s="68"/>
      <c r="D263" s="68"/>
      <c r="E263" s="132"/>
      <c r="F263" s="201"/>
      <c r="G263" s="92"/>
    </row>
    <row r="264" spans="3:7" customFormat="1" x14ac:dyDescent="0.2">
      <c r="C264" s="68"/>
      <c r="D264" s="68"/>
      <c r="E264" s="132"/>
      <c r="F264" s="201"/>
      <c r="G264" s="92"/>
    </row>
    <row r="265" spans="3:7" customFormat="1" x14ac:dyDescent="0.2">
      <c r="C265" s="68"/>
      <c r="D265" s="68"/>
      <c r="E265" s="132"/>
      <c r="F265" s="201"/>
      <c r="G265" s="92"/>
    </row>
    <row r="266" spans="3:7" customFormat="1" x14ac:dyDescent="0.2">
      <c r="C266" s="68"/>
      <c r="D266" s="68"/>
      <c r="E266" s="132"/>
      <c r="F266" s="201"/>
      <c r="G266" s="92"/>
    </row>
    <row r="267" spans="3:7" customFormat="1" x14ac:dyDescent="0.2">
      <c r="C267" s="68"/>
      <c r="D267" s="68"/>
      <c r="E267" s="132"/>
      <c r="F267" s="201"/>
      <c r="G267" s="92"/>
    </row>
    <row r="268" spans="3:7" customFormat="1" x14ac:dyDescent="0.2">
      <c r="C268" s="68"/>
      <c r="D268" s="68"/>
      <c r="E268" s="132"/>
      <c r="F268" s="201"/>
      <c r="G268" s="92"/>
    </row>
    <row r="269" spans="3:7" customFormat="1" x14ac:dyDescent="0.2">
      <c r="C269" s="68"/>
      <c r="D269" s="68"/>
      <c r="E269" s="132"/>
      <c r="F269" s="201"/>
      <c r="G269" s="92"/>
    </row>
    <row r="270" spans="3:7" customFormat="1" x14ac:dyDescent="0.2">
      <c r="C270" s="68"/>
      <c r="D270" s="68"/>
      <c r="E270" s="132"/>
      <c r="F270" s="201"/>
      <c r="G270" s="92"/>
    </row>
    <row r="271" spans="3:7" customFormat="1" x14ac:dyDescent="0.2">
      <c r="C271" s="68"/>
      <c r="D271" s="68"/>
      <c r="E271" s="132"/>
      <c r="F271" s="201"/>
      <c r="G271" s="92"/>
    </row>
    <row r="272" spans="3:7" customFormat="1" x14ac:dyDescent="0.2">
      <c r="C272" s="68"/>
      <c r="D272" s="68"/>
      <c r="E272" s="132"/>
      <c r="F272" s="201"/>
      <c r="G272" s="92"/>
    </row>
    <row r="273" spans="1:7" customFormat="1" x14ac:dyDescent="0.2">
      <c r="C273" s="68"/>
      <c r="D273" s="68"/>
      <c r="E273" s="132"/>
      <c r="F273" s="201"/>
      <c r="G273" s="92"/>
    </row>
    <row r="274" spans="1:7" customFormat="1" x14ac:dyDescent="0.2">
      <c r="C274" s="68"/>
      <c r="D274" s="68"/>
      <c r="E274" s="132"/>
      <c r="F274" s="201"/>
      <c r="G274" s="92"/>
    </row>
    <row r="275" spans="1:7" customFormat="1" x14ac:dyDescent="0.2">
      <c r="C275" s="68"/>
      <c r="D275" s="68"/>
      <c r="E275" s="132"/>
      <c r="F275" s="201"/>
      <c r="G275" s="92"/>
    </row>
    <row r="276" spans="1:7" x14ac:dyDescent="0.2">
      <c r="A276"/>
      <c r="B276"/>
      <c r="G276" s="92"/>
    </row>
    <row r="277" spans="1:7" x14ac:dyDescent="0.2">
      <c r="A277"/>
      <c r="B277"/>
      <c r="G277" s="92"/>
    </row>
  </sheetData>
  <mergeCells count="3">
    <mergeCell ref="H2:N2"/>
    <mergeCell ref="H17:N17"/>
    <mergeCell ref="H19:M19"/>
  </mergeCells>
  <phoneticPr fontId="3" type="noConversion"/>
  <pageMargins left="0.25" right="0.25" top="1" bottom="0.5" header="0.5" footer="0.5"/>
  <pageSetup scale="64" fitToHeight="0" orientation="portrait" r:id="rId1"/>
  <headerFooter alignWithMargins="0">
    <oddHeader xml:space="preserve">&amp;CTown of Richmond
FY27 Budget Revenues 
12/15/25
</oddHeader>
  </headerFooter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1D75-B0CB-42A0-9D5F-A5DD69F02FD0}">
  <dimension ref="A3:J39"/>
  <sheetViews>
    <sheetView view="pageBreakPreview" zoomScale="60" zoomScaleNormal="100" workbookViewId="0">
      <selection activeCell="F26" sqref="F26"/>
    </sheetView>
  </sheetViews>
  <sheetFormatPr defaultRowHeight="12.75" x14ac:dyDescent="0.2"/>
  <cols>
    <col min="2" max="2" width="19" bestFit="1" customWidth="1"/>
    <col min="3" max="3" width="4.140625" customWidth="1"/>
    <col min="4" max="4" width="10.42578125" bestFit="1" customWidth="1"/>
    <col min="5" max="5" width="16.28515625" customWidth="1"/>
    <col min="6" max="6" width="26.5703125" customWidth="1"/>
    <col min="7" max="7" width="12.42578125" bestFit="1" customWidth="1"/>
    <col min="8" max="8" width="18.28515625" bestFit="1" customWidth="1"/>
    <col min="9" max="9" width="17.42578125" style="303" customWidth="1"/>
    <col min="258" max="258" width="19" bestFit="1" customWidth="1"/>
    <col min="259" max="259" width="4.140625" customWidth="1"/>
    <col min="260" max="260" width="10.42578125" bestFit="1" customWidth="1"/>
    <col min="261" max="261" width="16.28515625" customWidth="1"/>
    <col min="262" max="262" width="26.5703125" customWidth="1"/>
    <col min="263" max="263" width="12.42578125" bestFit="1" customWidth="1"/>
    <col min="264" max="264" width="18.28515625" bestFit="1" customWidth="1"/>
    <col min="265" max="265" width="17.42578125" customWidth="1"/>
    <col min="514" max="514" width="19" bestFit="1" customWidth="1"/>
    <col min="515" max="515" width="4.140625" customWidth="1"/>
    <col min="516" max="516" width="10.42578125" bestFit="1" customWidth="1"/>
    <col min="517" max="517" width="16.28515625" customWidth="1"/>
    <col min="518" max="518" width="26.5703125" customWidth="1"/>
    <col min="519" max="519" width="12.42578125" bestFit="1" customWidth="1"/>
    <col min="520" max="520" width="18.28515625" bestFit="1" customWidth="1"/>
    <col min="521" max="521" width="17.42578125" customWidth="1"/>
    <col min="770" max="770" width="19" bestFit="1" customWidth="1"/>
    <col min="771" max="771" width="4.140625" customWidth="1"/>
    <col min="772" max="772" width="10.42578125" bestFit="1" customWidth="1"/>
    <col min="773" max="773" width="16.28515625" customWidth="1"/>
    <col min="774" max="774" width="26.5703125" customWidth="1"/>
    <col min="775" max="775" width="12.42578125" bestFit="1" customWidth="1"/>
    <col min="776" max="776" width="18.28515625" bestFit="1" customWidth="1"/>
    <col min="777" max="777" width="17.42578125" customWidth="1"/>
    <col min="1026" max="1026" width="19" bestFit="1" customWidth="1"/>
    <col min="1027" max="1027" width="4.140625" customWidth="1"/>
    <col min="1028" max="1028" width="10.42578125" bestFit="1" customWidth="1"/>
    <col min="1029" max="1029" width="16.28515625" customWidth="1"/>
    <col min="1030" max="1030" width="26.5703125" customWidth="1"/>
    <col min="1031" max="1031" width="12.42578125" bestFit="1" customWidth="1"/>
    <col min="1032" max="1032" width="18.28515625" bestFit="1" customWidth="1"/>
    <col min="1033" max="1033" width="17.42578125" customWidth="1"/>
    <col min="1282" max="1282" width="19" bestFit="1" customWidth="1"/>
    <col min="1283" max="1283" width="4.140625" customWidth="1"/>
    <col min="1284" max="1284" width="10.42578125" bestFit="1" customWidth="1"/>
    <col min="1285" max="1285" width="16.28515625" customWidth="1"/>
    <col min="1286" max="1286" width="26.5703125" customWidth="1"/>
    <col min="1287" max="1287" width="12.42578125" bestFit="1" customWidth="1"/>
    <col min="1288" max="1288" width="18.28515625" bestFit="1" customWidth="1"/>
    <col min="1289" max="1289" width="17.42578125" customWidth="1"/>
    <col min="1538" max="1538" width="19" bestFit="1" customWidth="1"/>
    <col min="1539" max="1539" width="4.140625" customWidth="1"/>
    <col min="1540" max="1540" width="10.42578125" bestFit="1" customWidth="1"/>
    <col min="1541" max="1541" width="16.28515625" customWidth="1"/>
    <col min="1542" max="1542" width="26.5703125" customWidth="1"/>
    <col min="1543" max="1543" width="12.42578125" bestFit="1" customWidth="1"/>
    <col min="1544" max="1544" width="18.28515625" bestFit="1" customWidth="1"/>
    <col min="1545" max="1545" width="17.42578125" customWidth="1"/>
    <col min="1794" max="1794" width="19" bestFit="1" customWidth="1"/>
    <col min="1795" max="1795" width="4.140625" customWidth="1"/>
    <col min="1796" max="1796" width="10.42578125" bestFit="1" customWidth="1"/>
    <col min="1797" max="1797" width="16.28515625" customWidth="1"/>
    <col min="1798" max="1798" width="26.5703125" customWidth="1"/>
    <col min="1799" max="1799" width="12.42578125" bestFit="1" customWidth="1"/>
    <col min="1800" max="1800" width="18.28515625" bestFit="1" customWidth="1"/>
    <col min="1801" max="1801" width="17.42578125" customWidth="1"/>
    <col min="2050" max="2050" width="19" bestFit="1" customWidth="1"/>
    <col min="2051" max="2051" width="4.140625" customWidth="1"/>
    <col min="2052" max="2052" width="10.42578125" bestFit="1" customWidth="1"/>
    <col min="2053" max="2053" width="16.28515625" customWidth="1"/>
    <col min="2054" max="2054" width="26.5703125" customWidth="1"/>
    <col min="2055" max="2055" width="12.42578125" bestFit="1" customWidth="1"/>
    <col min="2056" max="2056" width="18.28515625" bestFit="1" customWidth="1"/>
    <col min="2057" max="2057" width="17.42578125" customWidth="1"/>
    <col min="2306" max="2306" width="19" bestFit="1" customWidth="1"/>
    <col min="2307" max="2307" width="4.140625" customWidth="1"/>
    <col min="2308" max="2308" width="10.42578125" bestFit="1" customWidth="1"/>
    <col min="2309" max="2309" width="16.28515625" customWidth="1"/>
    <col min="2310" max="2310" width="26.5703125" customWidth="1"/>
    <col min="2311" max="2311" width="12.42578125" bestFit="1" customWidth="1"/>
    <col min="2312" max="2312" width="18.28515625" bestFit="1" customWidth="1"/>
    <col min="2313" max="2313" width="17.42578125" customWidth="1"/>
    <col min="2562" max="2562" width="19" bestFit="1" customWidth="1"/>
    <col min="2563" max="2563" width="4.140625" customWidth="1"/>
    <col min="2564" max="2564" width="10.42578125" bestFit="1" customWidth="1"/>
    <col min="2565" max="2565" width="16.28515625" customWidth="1"/>
    <col min="2566" max="2566" width="26.5703125" customWidth="1"/>
    <col min="2567" max="2567" width="12.42578125" bestFit="1" customWidth="1"/>
    <col min="2568" max="2568" width="18.28515625" bestFit="1" customWidth="1"/>
    <col min="2569" max="2569" width="17.42578125" customWidth="1"/>
    <col min="2818" max="2818" width="19" bestFit="1" customWidth="1"/>
    <col min="2819" max="2819" width="4.140625" customWidth="1"/>
    <col min="2820" max="2820" width="10.42578125" bestFit="1" customWidth="1"/>
    <col min="2821" max="2821" width="16.28515625" customWidth="1"/>
    <col min="2822" max="2822" width="26.5703125" customWidth="1"/>
    <col min="2823" max="2823" width="12.42578125" bestFit="1" customWidth="1"/>
    <col min="2824" max="2824" width="18.28515625" bestFit="1" customWidth="1"/>
    <col min="2825" max="2825" width="17.42578125" customWidth="1"/>
    <col min="3074" max="3074" width="19" bestFit="1" customWidth="1"/>
    <col min="3075" max="3075" width="4.140625" customWidth="1"/>
    <col min="3076" max="3076" width="10.42578125" bestFit="1" customWidth="1"/>
    <col min="3077" max="3077" width="16.28515625" customWidth="1"/>
    <col min="3078" max="3078" width="26.5703125" customWidth="1"/>
    <col min="3079" max="3079" width="12.42578125" bestFit="1" customWidth="1"/>
    <col min="3080" max="3080" width="18.28515625" bestFit="1" customWidth="1"/>
    <col min="3081" max="3081" width="17.42578125" customWidth="1"/>
    <col min="3330" max="3330" width="19" bestFit="1" customWidth="1"/>
    <col min="3331" max="3331" width="4.140625" customWidth="1"/>
    <col min="3332" max="3332" width="10.42578125" bestFit="1" customWidth="1"/>
    <col min="3333" max="3333" width="16.28515625" customWidth="1"/>
    <col min="3334" max="3334" width="26.5703125" customWidth="1"/>
    <col min="3335" max="3335" width="12.42578125" bestFit="1" customWidth="1"/>
    <col min="3336" max="3336" width="18.28515625" bestFit="1" customWidth="1"/>
    <col min="3337" max="3337" width="17.42578125" customWidth="1"/>
    <col min="3586" max="3586" width="19" bestFit="1" customWidth="1"/>
    <col min="3587" max="3587" width="4.140625" customWidth="1"/>
    <col min="3588" max="3588" width="10.42578125" bestFit="1" customWidth="1"/>
    <col min="3589" max="3589" width="16.28515625" customWidth="1"/>
    <col min="3590" max="3590" width="26.5703125" customWidth="1"/>
    <col min="3591" max="3591" width="12.42578125" bestFit="1" customWidth="1"/>
    <col min="3592" max="3592" width="18.28515625" bestFit="1" customWidth="1"/>
    <col min="3593" max="3593" width="17.42578125" customWidth="1"/>
    <col min="3842" max="3842" width="19" bestFit="1" customWidth="1"/>
    <col min="3843" max="3843" width="4.140625" customWidth="1"/>
    <col min="3844" max="3844" width="10.42578125" bestFit="1" customWidth="1"/>
    <col min="3845" max="3845" width="16.28515625" customWidth="1"/>
    <col min="3846" max="3846" width="26.5703125" customWidth="1"/>
    <col min="3847" max="3847" width="12.42578125" bestFit="1" customWidth="1"/>
    <col min="3848" max="3848" width="18.28515625" bestFit="1" customWidth="1"/>
    <col min="3849" max="3849" width="17.42578125" customWidth="1"/>
    <col min="4098" max="4098" width="19" bestFit="1" customWidth="1"/>
    <col min="4099" max="4099" width="4.140625" customWidth="1"/>
    <col min="4100" max="4100" width="10.42578125" bestFit="1" customWidth="1"/>
    <col min="4101" max="4101" width="16.28515625" customWidth="1"/>
    <col min="4102" max="4102" width="26.5703125" customWidth="1"/>
    <col min="4103" max="4103" width="12.42578125" bestFit="1" customWidth="1"/>
    <col min="4104" max="4104" width="18.28515625" bestFit="1" customWidth="1"/>
    <col min="4105" max="4105" width="17.42578125" customWidth="1"/>
    <col min="4354" max="4354" width="19" bestFit="1" customWidth="1"/>
    <col min="4355" max="4355" width="4.140625" customWidth="1"/>
    <col min="4356" max="4356" width="10.42578125" bestFit="1" customWidth="1"/>
    <col min="4357" max="4357" width="16.28515625" customWidth="1"/>
    <col min="4358" max="4358" width="26.5703125" customWidth="1"/>
    <col min="4359" max="4359" width="12.42578125" bestFit="1" customWidth="1"/>
    <col min="4360" max="4360" width="18.28515625" bestFit="1" customWidth="1"/>
    <col min="4361" max="4361" width="17.42578125" customWidth="1"/>
    <col min="4610" max="4610" width="19" bestFit="1" customWidth="1"/>
    <col min="4611" max="4611" width="4.140625" customWidth="1"/>
    <col min="4612" max="4612" width="10.42578125" bestFit="1" customWidth="1"/>
    <col min="4613" max="4613" width="16.28515625" customWidth="1"/>
    <col min="4614" max="4614" width="26.5703125" customWidth="1"/>
    <col min="4615" max="4615" width="12.42578125" bestFit="1" customWidth="1"/>
    <col min="4616" max="4616" width="18.28515625" bestFit="1" customWidth="1"/>
    <col min="4617" max="4617" width="17.42578125" customWidth="1"/>
    <col min="4866" max="4866" width="19" bestFit="1" customWidth="1"/>
    <col min="4867" max="4867" width="4.140625" customWidth="1"/>
    <col min="4868" max="4868" width="10.42578125" bestFit="1" customWidth="1"/>
    <col min="4869" max="4869" width="16.28515625" customWidth="1"/>
    <col min="4870" max="4870" width="26.5703125" customWidth="1"/>
    <col min="4871" max="4871" width="12.42578125" bestFit="1" customWidth="1"/>
    <col min="4872" max="4872" width="18.28515625" bestFit="1" customWidth="1"/>
    <col min="4873" max="4873" width="17.42578125" customWidth="1"/>
    <col min="5122" max="5122" width="19" bestFit="1" customWidth="1"/>
    <col min="5123" max="5123" width="4.140625" customWidth="1"/>
    <col min="5124" max="5124" width="10.42578125" bestFit="1" customWidth="1"/>
    <col min="5125" max="5125" width="16.28515625" customWidth="1"/>
    <col min="5126" max="5126" width="26.5703125" customWidth="1"/>
    <col min="5127" max="5127" width="12.42578125" bestFit="1" customWidth="1"/>
    <col min="5128" max="5128" width="18.28515625" bestFit="1" customWidth="1"/>
    <col min="5129" max="5129" width="17.42578125" customWidth="1"/>
    <col min="5378" max="5378" width="19" bestFit="1" customWidth="1"/>
    <col min="5379" max="5379" width="4.140625" customWidth="1"/>
    <col min="5380" max="5380" width="10.42578125" bestFit="1" customWidth="1"/>
    <col min="5381" max="5381" width="16.28515625" customWidth="1"/>
    <col min="5382" max="5382" width="26.5703125" customWidth="1"/>
    <col min="5383" max="5383" width="12.42578125" bestFit="1" customWidth="1"/>
    <col min="5384" max="5384" width="18.28515625" bestFit="1" customWidth="1"/>
    <col min="5385" max="5385" width="17.42578125" customWidth="1"/>
    <col min="5634" max="5634" width="19" bestFit="1" customWidth="1"/>
    <col min="5635" max="5635" width="4.140625" customWidth="1"/>
    <col min="5636" max="5636" width="10.42578125" bestFit="1" customWidth="1"/>
    <col min="5637" max="5637" width="16.28515625" customWidth="1"/>
    <col min="5638" max="5638" width="26.5703125" customWidth="1"/>
    <col min="5639" max="5639" width="12.42578125" bestFit="1" customWidth="1"/>
    <col min="5640" max="5640" width="18.28515625" bestFit="1" customWidth="1"/>
    <col min="5641" max="5641" width="17.42578125" customWidth="1"/>
    <col min="5890" max="5890" width="19" bestFit="1" customWidth="1"/>
    <col min="5891" max="5891" width="4.140625" customWidth="1"/>
    <col min="5892" max="5892" width="10.42578125" bestFit="1" customWidth="1"/>
    <col min="5893" max="5893" width="16.28515625" customWidth="1"/>
    <col min="5894" max="5894" width="26.5703125" customWidth="1"/>
    <col min="5895" max="5895" width="12.42578125" bestFit="1" customWidth="1"/>
    <col min="5896" max="5896" width="18.28515625" bestFit="1" customWidth="1"/>
    <col min="5897" max="5897" width="17.42578125" customWidth="1"/>
    <col min="6146" max="6146" width="19" bestFit="1" customWidth="1"/>
    <col min="6147" max="6147" width="4.140625" customWidth="1"/>
    <col min="6148" max="6148" width="10.42578125" bestFit="1" customWidth="1"/>
    <col min="6149" max="6149" width="16.28515625" customWidth="1"/>
    <col min="6150" max="6150" width="26.5703125" customWidth="1"/>
    <col min="6151" max="6151" width="12.42578125" bestFit="1" customWidth="1"/>
    <col min="6152" max="6152" width="18.28515625" bestFit="1" customWidth="1"/>
    <col min="6153" max="6153" width="17.42578125" customWidth="1"/>
    <col min="6402" max="6402" width="19" bestFit="1" customWidth="1"/>
    <col min="6403" max="6403" width="4.140625" customWidth="1"/>
    <col min="6404" max="6404" width="10.42578125" bestFit="1" customWidth="1"/>
    <col min="6405" max="6405" width="16.28515625" customWidth="1"/>
    <col min="6406" max="6406" width="26.5703125" customWidth="1"/>
    <col min="6407" max="6407" width="12.42578125" bestFit="1" customWidth="1"/>
    <col min="6408" max="6408" width="18.28515625" bestFit="1" customWidth="1"/>
    <col min="6409" max="6409" width="17.42578125" customWidth="1"/>
    <col min="6658" max="6658" width="19" bestFit="1" customWidth="1"/>
    <col min="6659" max="6659" width="4.140625" customWidth="1"/>
    <col min="6660" max="6660" width="10.42578125" bestFit="1" customWidth="1"/>
    <col min="6661" max="6661" width="16.28515625" customWidth="1"/>
    <col min="6662" max="6662" width="26.5703125" customWidth="1"/>
    <col min="6663" max="6663" width="12.42578125" bestFit="1" customWidth="1"/>
    <col min="6664" max="6664" width="18.28515625" bestFit="1" customWidth="1"/>
    <col min="6665" max="6665" width="17.42578125" customWidth="1"/>
    <col min="6914" max="6914" width="19" bestFit="1" customWidth="1"/>
    <col min="6915" max="6915" width="4.140625" customWidth="1"/>
    <col min="6916" max="6916" width="10.42578125" bestFit="1" customWidth="1"/>
    <col min="6917" max="6917" width="16.28515625" customWidth="1"/>
    <col min="6918" max="6918" width="26.5703125" customWidth="1"/>
    <col min="6919" max="6919" width="12.42578125" bestFit="1" customWidth="1"/>
    <col min="6920" max="6920" width="18.28515625" bestFit="1" customWidth="1"/>
    <col min="6921" max="6921" width="17.42578125" customWidth="1"/>
    <col min="7170" max="7170" width="19" bestFit="1" customWidth="1"/>
    <col min="7171" max="7171" width="4.140625" customWidth="1"/>
    <col min="7172" max="7172" width="10.42578125" bestFit="1" customWidth="1"/>
    <col min="7173" max="7173" width="16.28515625" customWidth="1"/>
    <col min="7174" max="7174" width="26.5703125" customWidth="1"/>
    <col min="7175" max="7175" width="12.42578125" bestFit="1" customWidth="1"/>
    <col min="7176" max="7176" width="18.28515625" bestFit="1" customWidth="1"/>
    <col min="7177" max="7177" width="17.42578125" customWidth="1"/>
    <col min="7426" max="7426" width="19" bestFit="1" customWidth="1"/>
    <col min="7427" max="7427" width="4.140625" customWidth="1"/>
    <col min="7428" max="7428" width="10.42578125" bestFit="1" customWidth="1"/>
    <col min="7429" max="7429" width="16.28515625" customWidth="1"/>
    <col min="7430" max="7430" width="26.5703125" customWidth="1"/>
    <col min="7431" max="7431" width="12.42578125" bestFit="1" customWidth="1"/>
    <col min="7432" max="7432" width="18.28515625" bestFit="1" customWidth="1"/>
    <col min="7433" max="7433" width="17.42578125" customWidth="1"/>
    <col min="7682" max="7682" width="19" bestFit="1" customWidth="1"/>
    <col min="7683" max="7683" width="4.140625" customWidth="1"/>
    <col min="7684" max="7684" width="10.42578125" bestFit="1" customWidth="1"/>
    <col min="7685" max="7685" width="16.28515625" customWidth="1"/>
    <col min="7686" max="7686" width="26.5703125" customWidth="1"/>
    <col min="7687" max="7687" width="12.42578125" bestFit="1" customWidth="1"/>
    <col min="7688" max="7688" width="18.28515625" bestFit="1" customWidth="1"/>
    <col min="7689" max="7689" width="17.42578125" customWidth="1"/>
    <col min="7938" max="7938" width="19" bestFit="1" customWidth="1"/>
    <col min="7939" max="7939" width="4.140625" customWidth="1"/>
    <col min="7940" max="7940" width="10.42578125" bestFit="1" customWidth="1"/>
    <col min="7941" max="7941" width="16.28515625" customWidth="1"/>
    <col min="7942" max="7942" width="26.5703125" customWidth="1"/>
    <col min="7943" max="7943" width="12.42578125" bestFit="1" customWidth="1"/>
    <col min="7944" max="7944" width="18.28515625" bestFit="1" customWidth="1"/>
    <col min="7945" max="7945" width="17.42578125" customWidth="1"/>
    <col min="8194" max="8194" width="19" bestFit="1" customWidth="1"/>
    <col min="8195" max="8195" width="4.140625" customWidth="1"/>
    <col min="8196" max="8196" width="10.42578125" bestFit="1" customWidth="1"/>
    <col min="8197" max="8197" width="16.28515625" customWidth="1"/>
    <col min="8198" max="8198" width="26.5703125" customWidth="1"/>
    <col min="8199" max="8199" width="12.42578125" bestFit="1" customWidth="1"/>
    <col min="8200" max="8200" width="18.28515625" bestFit="1" customWidth="1"/>
    <col min="8201" max="8201" width="17.42578125" customWidth="1"/>
    <col min="8450" max="8450" width="19" bestFit="1" customWidth="1"/>
    <col min="8451" max="8451" width="4.140625" customWidth="1"/>
    <col min="8452" max="8452" width="10.42578125" bestFit="1" customWidth="1"/>
    <col min="8453" max="8453" width="16.28515625" customWidth="1"/>
    <col min="8454" max="8454" width="26.5703125" customWidth="1"/>
    <col min="8455" max="8455" width="12.42578125" bestFit="1" customWidth="1"/>
    <col min="8456" max="8456" width="18.28515625" bestFit="1" customWidth="1"/>
    <col min="8457" max="8457" width="17.42578125" customWidth="1"/>
    <col min="8706" max="8706" width="19" bestFit="1" customWidth="1"/>
    <col min="8707" max="8707" width="4.140625" customWidth="1"/>
    <col min="8708" max="8708" width="10.42578125" bestFit="1" customWidth="1"/>
    <col min="8709" max="8709" width="16.28515625" customWidth="1"/>
    <col min="8710" max="8710" width="26.5703125" customWidth="1"/>
    <col min="8711" max="8711" width="12.42578125" bestFit="1" customWidth="1"/>
    <col min="8712" max="8712" width="18.28515625" bestFit="1" customWidth="1"/>
    <col min="8713" max="8713" width="17.42578125" customWidth="1"/>
    <col min="8962" max="8962" width="19" bestFit="1" customWidth="1"/>
    <col min="8963" max="8963" width="4.140625" customWidth="1"/>
    <col min="8964" max="8964" width="10.42578125" bestFit="1" customWidth="1"/>
    <col min="8965" max="8965" width="16.28515625" customWidth="1"/>
    <col min="8966" max="8966" width="26.5703125" customWidth="1"/>
    <col min="8967" max="8967" width="12.42578125" bestFit="1" customWidth="1"/>
    <col min="8968" max="8968" width="18.28515625" bestFit="1" customWidth="1"/>
    <col min="8969" max="8969" width="17.42578125" customWidth="1"/>
    <col min="9218" max="9218" width="19" bestFit="1" customWidth="1"/>
    <col min="9219" max="9219" width="4.140625" customWidth="1"/>
    <col min="9220" max="9220" width="10.42578125" bestFit="1" customWidth="1"/>
    <col min="9221" max="9221" width="16.28515625" customWidth="1"/>
    <col min="9222" max="9222" width="26.5703125" customWidth="1"/>
    <col min="9223" max="9223" width="12.42578125" bestFit="1" customWidth="1"/>
    <col min="9224" max="9224" width="18.28515625" bestFit="1" customWidth="1"/>
    <col min="9225" max="9225" width="17.42578125" customWidth="1"/>
    <col min="9474" max="9474" width="19" bestFit="1" customWidth="1"/>
    <col min="9475" max="9475" width="4.140625" customWidth="1"/>
    <col min="9476" max="9476" width="10.42578125" bestFit="1" customWidth="1"/>
    <col min="9477" max="9477" width="16.28515625" customWidth="1"/>
    <col min="9478" max="9478" width="26.5703125" customWidth="1"/>
    <col min="9479" max="9479" width="12.42578125" bestFit="1" customWidth="1"/>
    <col min="9480" max="9480" width="18.28515625" bestFit="1" customWidth="1"/>
    <col min="9481" max="9481" width="17.42578125" customWidth="1"/>
    <col min="9730" max="9730" width="19" bestFit="1" customWidth="1"/>
    <col min="9731" max="9731" width="4.140625" customWidth="1"/>
    <col min="9732" max="9732" width="10.42578125" bestFit="1" customWidth="1"/>
    <col min="9733" max="9733" width="16.28515625" customWidth="1"/>
    <col min="9734" max="9734" width="26.5703125" customWidth="1"/>
    <col min="9735" max="9735" width="12.42578125" bestFit="1" customWidth="1"/>
    <col min="9736" max="9736" width="18.28515625" bestFit="1" customWidth="1"/>
    <col min="9737" max="9737" width="17.42578125" customWidth="1"/>
    <col min="9986" max="9986" width="19" bestFit="1" customWidth="1"/>
    <col min="9987" max="9987" width="4.140625" customWidth="1"/>
    <col min="9988" max="9988" width="10.42578125" bestFit="1" customWidth="1"/>
    <col min="9989" max="9989" width="16.28515625" customWidth="1"/>
    <col min="9990" max="9990" width="26.5703125" customWidth="1"/>
    <col min="9991" max="9991" width="12.42578125" bestFit="1" customWidth="1"/>
    <col min="9992" max="9992" width="18.28515625" bestFit="1" customWidth="1"/>
    <col min="9993" max="9993" width="17.42578125" customWidth="1"/>
    <col min="10242" max="10242" width="19" bestFit="1" customWidth="1"/>
    <col min="10243" max="10243" width="4.140625" customWidth="1"/>
    <col min="10244" max="10244" width="10.42578125" bestFit="1" customWidth="1"/>
    <col min="10245" max="10245" width="16.28515625" customWidth="1"/>
    <col min="10246" max="10246" width="26.5703125" customWidth="1"/>
    <col min="10247" max="10247" width="12.42578125" bestFit="1" customWidth="1"/>
    <col min="10248" max="10248" width="18.28515625" bestFit="1" customWidth="1"/>
    <col min="10249" max="10249" width="17.42578125" customWidth="1"/>
    <col min="10498" max="10498" width="19" bestFit="1" customWidth="1"/>
    <col min="10499" max="10499" width="4.140625" customWidth="1"/>
    <col min="10500" max="10500" width="10.42578125" bestFit="1" customWidth="1"/>
    <col min="10501" max="10501" width="16.28515625" customWidth="1"/>
    <col min="10502" max="10502" width="26.5703125" customWidth="1"/>
    <col min="10503" max="10503" width="12.42578125" bestFit="1" customWidth="1"/>
    <col min="10504" max="10504" width="18.28515625" bestFit="1" customWidth="1"/>
    <col min="10505" max="10505" width="17.42578125" customWidth="1"/>
    <col min="10754" max="10754" width="19" bestFit="1" customWidth="1"/>
    <col min="10755" max="10755" width="4.140625" customWidth="1"/>
    <col min="10756" max="10756" width="10.42578125" bestFit="1" customWidth="1"/>
    <col min="10757" max="10757" width="16.28515625" customWidth="1"/>
    <col min="10758" max="10758" width="26.5703125" customWidth="1"/>
    <col min="10759" max="10759" width="12.42578125" bestFit="1" customWidth="1"/>
    <col min="10760" max="10760" width="18.28515625" bestFit="1" customWidth="1"/>
    <col min="10761" max="10761" width="17.42578125" customWidth="1"/>
    <col min="11010" max="11010" width="19" bestFit="1" customWidth="1"/>
    <col min="11011" max="11011" width="4.140625" customWidth="1"/>
    <col min="11012" max="11012" width="10.42578125" bestFit="1" customWidth="1"/>
    <col min="11013" max="11013" width="16.28515625" customWidth="1"/>
    <col min="11014" max="11014" width="26.5703125" customWidth="1"/>
    <col min="11015" max="11015" width="12.42578125" bestFit="1" customWidth="1"/>
    <col min="11016" max="11016" width="18.28515625" bestFit="1" customWidth="1"/>
    <col min="11017" max="11017" width="17.42578125" customWidth="1"/>
    <col min="11266" max="11266" width="19" bestFit="1" customWidth="1"/>
    <col min="11267" max="11267" width="4.140625" customWidth="1"/>
    <col min="11268" max="11268" width="10.42578125" bestFit="1" customWidth="1"/>
    <col min="11269" max="11269" width="16.28515625" customWidth="1"/>
    <col min="11270" max="11270" width="26.5703125" customWidth="1"/>
    <col min="11271" max="11271" width="12.42578125" bestFit="1" customWidth="1"/>
    <col min="11272" max="11272" width="18.28515625" bestFit="1" customWidth="1"/>
    <col min="11273" max="11273" width="17.42578125" customWidth="1"/>
    <col min="11522" max="11522" width="19" bestFit="1" customWidth="1"/>
    <col min="11523" max="11523" width="4.140625" customWidth="1"/>
    <col min="11524" max="11524" width="10.42578125" bestFit="1" customWidth="1"/>
    <col min="11525" max="11525" width="16.28515625" customWidth="1"/>
    <col min="11526" max="11526" width="26.5703125" customWidth="1"/>
    <col min="11527" max="11527" width="12.42578125" bestFit="1" customWidth="1"/>
    <col min="11528" max="11528" width="18.28515625" bestFit="1" customWidth="1"/>
    <col min="11529" max="11529" width="17.42578125" customWidth="1"/>
    <col min="11778" max="11778" width="19" bestFit="1" customWidth="1"/>
    <col min="11779" max="11779" width="4.140625" customWidth="1"/>
    <col min="11780" max="11780" width="10.42578125" bestFit="1" customWidth="1"/>
    <col min="11781" max="11781" width="16.28515625" customWidth="1"/>
    <col min="11782" max="11782" width="26.5703125" customWidth="1"/>
    <col min="11783" max="11783" width="12.42578125" bestFit="1" customWidth="1"/>
    <col min="11784" max="11784" width="18.28515625" bestFit="1" customWidth="1"/>
    <col min="11785" max="11785" width="17.42578125" customWidth="1"/>
    <col min="12034" max="12034" width="19" bestFit="1" customWidth="1"/>
    <col min="12035" max="12035" width="4.140625" customWidth="1"/>
    <col min="12036" max="12036" width="10.42578125" bestFit="1" customWidth="1"/>
    <col min="12037" max="12037" width="16.28515625" customWidth="1"/>
    <col min="12038" max="12038" width="26.5703125" customWidth="1"/>
    <col min="12039" max="12039" width="12.42578125" bestFit="1" customWidth="1"/>
    <col min="12040" max="12040" width="18.28515625" bestFit="1" customWidth="1"/>
    <col min="12041" max="12041" width="17.42578125" customWidth="1"/>
    <col min="12290" max="12290" width="19" bestFit="1" customWidth="1"/>
    <col min="12291" max="12291" width="4.140625" customWidth="1"/>
    <col min="12292" max="12292" width="10.42578125" bestFit="1" customWidth="1"/>
    <col min="12293" max="12293" width="16.28515625" customWidth="1"/>
    <col min="12294" max="12294" width="26.5703125" customWidth="1"/>
    <col min="12295" max="12295" width="12.42578125" bestFit="1" customWidth="1"/>
    <col min="12296" max="12296" width="18.28515625" bestFit="1" customWidth="1"/>
    <col min="12297" max="12297" width="17.42578125" customWidth="1"/>
    <col min="12546" max="12546" width="19" bestFit="1" customWidth="1"/>
    <col min="12547" max="12547" width="4.140625" customWidth="1"/>
    <col min="12548" max="12548" width="10.42578125" bestFit="1" customWidth="1"/>
    <col min="12549" max="12549" width="16.28515625" customWidth="1"/>
    <col min="12550" max="12550" width="26.5703125" customWidth="1"/>
    <col min="12551" max="12551" width="12.42578125" bestFit="1" customWidth="1"/>
    <col min="12552" max="12552" width="18.28515625" bestFit="1" customWidth="1"/>
    <col min="12553" max="12553" width="17.42578125" customWidth="1"/>
    <col min="12802" max="12802" width="19" bestFit="1" customWidth="1"/>
    <col min="12803" max="12803" width="4.140625" customWidth="1"/>
    <col min="12804" max="12804" width="10.42578125" bestFit="1" customWidth="1"/>
    <col min="12805" max="12805" width="16.28515625" customWidth="1"/>
    <col min="12806" max="12806" width="26.5703125" customWidth="1"/>
    <col min="12807" max="12807" width="12.42578125" bestFit="1" customWidth="1"/>
    <col min="12808" max="12808" width="18.28515625" bestFit="1" customWidth="1"/>
    <col min="12809" max="12809" width="17.42578125" customWidth="1"/>
    <col min="13058" max="13058" width="19" bestFit="1" customWidth="1"/>
    <col min="13059" max="13059" width="4.140625" customWidth="1"/>
    <col min="13060" max="13060" width="10.42578125" bestFit="1" customWidth="1"/>
    <col min="13061" max="13061" width="16.28515625" customWidth="1"/>
    <col min="13062" max="13062" width="26.5703125" customWidth="1"/>
    <col min="13063" max="13063" width="12.42578125" bestFit="1" customWidth="1"/>
    <col min="13064" max="13064" width="18.28515625" bestFit="1" customWidth="1"/>
    <col min="13065" max="13065" width="17.42578125" customWidth="1"/>
    <col min="13314" max="13314" width="19" bestFit="1" customWidth="1"/>
    <col min="13315" max="13315" width="4.140625" customWidth="1"/>
    <col min="13316" max="13316" width="10.42578125" bestFit="1" customWidth="1"/>
    <col min="13317" max="13317" width="16.28515625" customWidth="1"/>
    <col min="13318" max="13318" width="26.5703125" customWidth="1"/>
    <col min="13319" max="13319" width="12.42578125" bestFit="1" customWidth="1"/>
    <col min="13320" max="13320" width="18.28515625" bestFit="1" customWidth="1"/>
    <col min="13321" max="13321" width="17.42578125" customWidth="1"/>
    <col min="13570" max="13570" width="19" bestFit="1" customWidth="1"/>
    <col min="13571" max="13571" width="4.140625" customWidth="1"/>
    <col min="13572" max="13572" width="10.42578125" bestFit="1" customWidth="1"/>
    <col min="13573" max="13573" width="16.28515625" customWidth="1"/>
    <col min="13574" max="13574" width="26.5703125" customWidth="1"/>
    <col min="13575" max="13575" width="12.42578125" bestFit="1" customWidth="1"/>
    <col min="13576" max="13576" width="18.28515625" bestFit="1" customWidth="1"/>
    <col min="13577" max="13577" width="17.42578125" customWidth="1"/>
    <col min="13826" max="13826" width="19" bestFit="1" customWidth="1"/>
    <col min="13827" max="13827" width="4.140625" customWidth="1"/>
    <col min="13828" max="13828" width="10.42578125" bestFit="1" customWidth="1"/>
    <col min="13829" max="13829" width="16.28515625" customWidth="1"/>
    <col min="13830" max="13830" width="26.5703125" customWidth="1"/>
    <col min="13831" max="13831" width="12.42578125" bestFit="1" customWidth="1"/>
    <col min="13832" max="13832" width="18.28515625" bestFit="1" customWidth="1"/>
    <col min="13833" max="13833" width="17.42578125" customWidth="1"/>
    <col min="14082" max="14082" width="19" bestFit="1" customWidth="1"/>
    <col min="14083" max="14083" width="4.140625" customWidth="1"/>
    <col min="14084" max="14084" width="10.42578125" bestFit="1" customWidth="1"/>
    <col min="14085" max="14085" width="16.28515625" customWidth="1"/>
    <col min="14086" max="14086" width="26.5703125" customWidth="1"/>
    <col min="14087" max="14087" width="12.42578125" bestFit="1" customWidth="1"/>
    <col min="14088" max="14088" width="18.28515625" bestFit="1" customWidth="1"/>
    <col min="14089" max="14089" width="17.42578125" customWidth="1"/>
    <col min="14338" max="14338" width="19" bestFit="1" customWidth="1"/>
    <col min="14339" max="14339" width="4.140625" customWidth="1"/>
    <col min="14340" max="14340" width="10.42578125" bestFit="1" customWidth="1"/>
    <col min="14341" max="14341" width="16.28515625" customWidth="1"/>
    <col min="14342" max="14342" width="26.5703125" customWidth="1"/>
    <col min="14343" max="14343" width="12.42578125" bestFit="1" customWidth="1"/>
    <col min="14344" max="14344" width="18.28515625" bestFit="1" customWidth="1"/>
    <col min="14345" max="14345" width="17.42578125" customWidth="1"/>
    <col min="14594" max="14594" width="19" bestFit="1" customWidth="1"/>
    <col min="14595" max="14595" width="4.140625" customWidth="1"/>
    <col min="14596" max="14596" width="10.42578125" bestFit="1" customWidth="1"/>
    <col min="14597" max="14597" width="16.28515625" customWidth="1"/>
    <col min="14598" max="14598" width="26.5703125" customWidth="1"/>
    <col min="14599" max="14599" width="12.42578125" bestFit="1" customWidth="1"/>
    <col min="14600" max="14600" width="18.28515625" bestFit="1" customWidth="1"/>
    <col min="14601" max="14601" width="17.42578125" customWidth="1"/>
    <col min="14850" max="14850" width="19" bestFit="1" customWidth="1"/>
    <col min="14851" max="14851" width="4.140625" customWidth="1"/>
    <col min="14852" max="14852" width="10.42578125" bestFit="1" customWidth="1"/>
    <col min="14853" max="14853" width="16.28515625" customWidth="1"/>
    <col min="14854" max="14854" width="26.5703125" customWidth="1"/>
    <col min="14855" max="14855" width="12.42578125" bestFit="1" customWidth="1"/>
    <col min="14856" max="14856" width="18.28515625" bestFit="1" customWidth="1"/>
    <col min="14857" max="14857" width="17.42578125" customWidth="1"/>
    <col min="15106" max="15106" width="19" bestFit="1" customWidth="1"/>
    <col min="15107" max="15107" width="4.140625" customWidth="1"/>
    <col min="15108" max="15108" width="10.42578125" bestFit="1" customWidth="1"/>
    <col min="15109" max="15109" width="16.28515625" customWidth="1"/>
    <col min="15110" max="15110" width="26.5703125" customWidth="1"/>
    <col min="15111" max="15111" width="12.42578125" bestFit="1" customWidth="1"/>
    <col min="15112" max="15112" width="18.28515625" bestFit="1" customWidth="1"/>
    <col min="15113" max="15113" width="17.42578125" customWidth="1"/>
    <col min="15362" max="15362" width="19" bestFit="1" customWidth="1"/>
    <col min="15363" max="15363" width="4.140625" customWidth="1"/>
    <col min="15364" max="15364" width="10.42578125" bestFit="1" customWidth="1"/>
    <col min="15365" max="15365" width="16.28515625" customWidth="1"/>
    <col min="15366" max="15366" width="26.5703125" customWidth="1"/>
    <col min="15367" max="15367" width="12.42578125" bestFit="1" customWidth="1"/>
    <col min="15368" max="15368" width="18.28515625" bestFit="1" customWidth="1"/>
    <col min="15369" max="15369" width="17.42578125" customWidth="1"/>
    <col min="15618" max="15618" width="19" bestFit="1" customWidth="1"/>
    <col min="15619" max="15619" width="4.140625" customWidth="1"/>
    <col min="15620" max="15620" width="10.42578125" bestFit="1" customWidth="1"/>
    <col min="15621" max="15621" width="16.28515625" customWidth="1"/>
    <col min="15622" max="15622" width="26.5703125" customWidth="1"/>
    <col min="15623" max="15623" width="12.42578125" bestFit="1" customWidth="1"/>
    <col min="15624" max="15624" width="18.28515625" bestFit="1" customWidth="1"/>
    <col min="15625" max="15625" width="17.42578125" customWidth="1"/>
    <col min="15874" max="15874" width="19" bestFit="1" customWidth="1"/>
    <col min="15875" max="15875" width="4.140625" customWidth="1"/>
    <col min="15876" max="15876" width="10.42578125" bestFit="1" customWidth="1"/>
    <col min="15877" max="15877" width="16.28515625" customWidth="1"/>
    <col min="15878" max="15878" width="26.5703125" customWidth="1"/>
    <col min="15879" max="15879" width="12.42578125" bestFit="1" customWidth="1"/>
    <col min="15880" max="15880" width="18.28515625" bestFit="1" customWidth="1"/>
    <col min="15881" max="15881" width="17.42578125" customWidth="1"/>
    <col min="16130" max="16130" width="19" bestFit="1" customWidth="1"/>
    <col min="16131" max="16131" width="4.140625" customWidth="1"/>
    <col min="16132" max="16132" width="10.42578125" bestFit="1" customWidth="1"/>
    <col min="16133" max="16133" width="16.28515625" customWidth="1"/>
    <col min="16134" max="16134" width="26.5703125" customWidth="1"/>
    <col min="16135" max="16135" width="12.42578125" bestFit="1" customWidth="1"/>
    <col min="16136" max="16136" width="18.28515625" bestFit="1" customWidth="1"/>
    <col min="16137" max="16137" width="17.42578125" customWidth="1"/>
  </cols>
  <sheetData>
    <row r="3" spans="1:10" x14ac:dyDescent="0.2">
      <c r="A3" s="329" t="s">
        <v>861</v>
      </c>
      <c r="B3" s="329"/>
      <c r="C3" s="329"/>
      <c r="D3" s="329"/>
      <c r="E3" s="329"/>
      <c r="F3" s="329"/>
      <c r="G3" s="329"/>
      <c r="H3" s="329"/>
      <c r="I3" s="329"/>
      <c r="J3" s="329"/>
    </row>
    <row r="7" spans="1:10" ht="51" x14ac:dyDescent="0.2">
      <c r="A7" s="330" t="s">
        <v>862</v>
      </c>
      <c r="B7" s="331"/>
      <c r="D7" s="332" t="s">
        <v>863</v>
      </c>
      <c r="E7" s="333"/>
      <c r="F7" s="295" t="s">
        <v>864</v>
      </c>
      <c r="H7" s="296" t="s">
        <v>865</v>
      </c>
      <c r="I7" s="297" t="s">
        <v>866</v>
      </c>
    </row>
    <row r="8" spans="1:10" x14ac:dyDescent="0.2">
      <c r="A8" s="298"/>
      <c r="B8" s="299"/>
      <c r="D8" s="300"/>
      <c r="F8" s="301"/>
      <c r="H8" s="300"/>
      <c r="I8" s="302"/>
    </row>
    <row r="9" spans="1:10" x14ac:dyDescent="0.2">
      <c r="A9" s="300"/>
      <c r="B9" s="301"/>
      <c r="D9" s="300"/>
      <c r="F9" s="299"/>
      <c r="H9" s="300"/>
      <c r="I9" s="302"/>
    </row>
    <row r="10" spans="1:10" x14ac:dyDescent="0.2">
      <c r="A10" s="300"/>
      <c r="B10" s="301"/>
      <c r="D10" s="300">
        <v>2010</v>
      </c>
      <c r="E10" s="303">
        <v>2721500</v>
      </c>
      <c r="F10" s="302"/>
      <c r="H10" s="300"/>
      <c r="I10" s="302"/>
    </row>
    <row r="11" spans="1:10" x14ac:dyDescent="0.2">
      <c r="A11" s="300"/>
      <c r="B11" s="301"/>
      <c r="D11" s="300">
        <v>2011</v>
      </c>
      <c r="E11" s="303">
        <v>2773031</v>
      </c>
      <c r="F11" s="302"/>
      <c r="H11" s="300"/>
      <c r="I11" s="302"/>
    </row>
    <row r="12" spans="1:10" x14ac:dyDescent="0.2">
      <c r="A12" s="300"/>
      <c r="B12" s="301"/>
      <c r="D12" s="300">
        <v>2012</v>
      </c>
      <c r="E12" s="303">
        <v>2842424</v>
      </c>
      <c r="F12" s="302"/>
      <c r="H12" s="300"/>
      <c r="I12" s="302"/>
    </row>
    <row r="13" spans="1:10" x14ac:dyDescent="0.2">
      <c r="A13" s="300">
        <v>2012</v>
      </c>
      <c r="B13" s="304">
        <v>417858</v>
      </c>
      <c r="D13" s="300">
        <v>2013</v>
      </c>
      <c r="E13" s="303">
        <v>2979746</v>
      </c>
      <c r="F13" s="305">
        <f t="shared" ref="F13:F26" si="0">SUM(B13/E13)</f>
        <v>0.14023275809414629</v>
      </c>
      <c r="H13" s="300"/>
      <c r="I13" s="302"/>
    </row>
    <row r="14" spans="1:10" x14ac:dyDescent="0.2">
      <c r="A14" s="300">
        <v>2013</v>
      </c>
      <c r="B14" s="304">
        <v>392963</v>
      </c>
      <c r="D14" s="300">
        <v>2014</v>
      </c>
      <c r="E14" s="303">
        <v>3188039</v>
      </c>
      <c r="F14" s="305">
        <f t="shared" si="0"/>
        <v>0.12326166649780633</v>
      </c>
      <c r="H14" s="300"/>
      <c r="I14" s="302"/>
    </row>
    <row r="15" spans="1:10" x14ac:dyDescent="0.2">
      <c r="A15" s="300">
        <v>2014</v>
      </c>
      <c r="B15" s="304">
        <v>391489</v>
      </c>
      <c r="D15" s="300">
        <v>2015</v>
      </c>
      <c r="E15" s="303">
        <v>3223659</v>
      </c>
      <c r="F15" s="305">
        <f t="shared" si="0"/>
        <v>0.12144243544369923</v>
      </c>
      <c r="H15" s="300"/>
      <c r="I15" s="302"/>
    </row>
    <row r="16" spans="1:10" x14ac:dyDescent="0.2">
      <c r="A16" s="300">
        <v>2015</v>
      </c>
      <c r="B16" s="306">
        <v>565493</v>
      </c>
      <c r="D16" s="300">
        <v>2016</v>
      </c>
      <c r="E16" s="303">
        <v>3300502</v>
      </c>
      <c r="F16" s="305">
        <f t="shared" si="0"/>
        <v>0.17133545139496961</v>
      </c>
      <c r="H16" s="300"/>
      <c r="I16" s="302"/>
    </row>
    <row r="17" spans="1:10" x14ac:dyDescent="0.2">
      <c r="A17" s="300">
        <v>2016</v>
      </c>
      <c r="B17" s="304">
        <v>768457</v>
      </c>
      <c r="D17" s="300">
        <v>2017</v>
      </c>
      <c r="E17" s="303">
        <v>3459091</v>
      </c>
      <c r="F17" s="305">
        <f t="shared" si="0"/>
        <v>0.22215576288683936</v>
      </c>
      <c r="H17" s="300"/>
      <c r="I17" s="302"/>
    </row>
    <row r="18" spans="1:10" x14ac:dyDescent="0.2">
      <c r="A18" s="300">
        <v>2017</v>
      </c>
      <c r="B18" s="304">
        <v>911121</v>
      </c>
      <c r="D18" s="300">
        <v>2018</v>
      </c>
      <c r="E18" s="303">
        <v>3533884</v>
      </c>
      <c r="F18" s="305">
        <f t="shared" si="0"/>
        <v>0.25782425229577427</v>
      </c>
      <c r="H18" s="300"/>
      <c r="I18" s="302"/>
    </row>
    <row r="19" spans="1:10" x14ac:dyDescent="0.2">
      <c r="A19" s="300">
        <v>2018</v>
      </c>
      <c r="B19" s="304">
        <v>911052</v>
      </c>
      <c r="D19" s="300">
        <v>2019</v>
      </c>
      <c r="E19" s="303">
        <v>3747985</v>
      </c>
      <c r="F19" s="305">
        <f t="shared" si="0"/>
        <v>0.24307781381195495</v>
      </c>
      <c r="H19" s="300">
        <v>2019</v>
      </c>
      <c r="I19" s="302">
        <v>90000</v>
      </c>
    </row>
    <row r="20" spans="1:10" x14ac:dyDescent="0.2">
      <c r="A20" s="300">
        <v>2019</v>
      </c>
      <c r="B20" s="307">
        <v>962971</v>
      </c>
      <c r="D20" s="300">
        <v>2020</v>
      </c>
      <c r="E20" s="303">
        <v>3970813</v>
      </c>
      <c r="F20" s="305">
        <f t="shared" si="0"/>
        <v>0.24251230163696955</v>
      </c>
      <c r="H20" s="300">
        <v>2020</v>
      </c>
      <c r="I20" s="302">
        <v>161724</v>
      </c>
    </row>
    <row r="21" spans="1:10" x14ac:dyDescent="0.2">
      <c r="A21" s="300">
        <v>2020</v>
      </c>
      <c r="B21" s="307">
        <v>1113693</v>
      </c>
      <c r="D21" s="300">
        <v>2021</v>
      </c>
      <c r="E21" s="303">
        <v>4026503</v>
      </c>
      <c r="F21" s="305">
        <f t="shared" si="0"/>
        <v>0.27659062963569131</v>
      </c>
      <c r="H21" s="300">
        <v>2021</v>
      </c>
      <c r="I21" s="302">
        <v>25000</v>
      </c>
    </row>
    <row r="22" spans="1:10" x14ac:dyDescent="0.2">
      <c r="A22" s="300">
        <v>2021</v>
      </c>
      <c r="B22" s="307">
        <v>1372208</v>
      </c>
      <c r="D22" s="300">
        <v>2022</v>
      </c>
      <c r="E22" s="33">
        <v>4238573.6400000006</v>
      </c>
      <c r="F22" s="305">
        <f t="shared" si="0"/>
        <v>0.3237428711985289</v>
      </c>
      <c r="H22" s="300">
        <v>2022</v>
      </c>
      <c r="I22" s="302">
        <v>91000</v>
      </c>
    </row>
    <row r="23" spans="1:10" x14ac:dyDescent="0.2">
      <c r="A23" s="300">
        <v>2022</v>
      </c>
      <c r="B23" s="307">
        <v>1789355</v>
      </c>
      <c r="D23" s="300">
        <v>2023</v>
      </c>
      <c r="E23" s="303">
        <v>5096847</v>
      </c>
      <c r="F23" s="305">
        <f t="shared" si="0"/>
        <v>0.35107096603056753</v>
      </c>
      <c r="H23" s="300">
        <v>2023</v>
      </c>
      <c r="I23" s="302">
        <v>919930</v>
      </c>
    </row>
    <row r="24" spans="1:10" x14ac:dyDescent="0.2">
      <c r="A24" s="300">
        <v>2023</v>
      </c>
      <c r="B24" s="307">
        <v>1631385</v>
      </c>
      <c r="D24" s="300">
        <v>2024</v>
      </c>
      <c r="E24" s="303">
        <v>4608734</v>
      </c>
      <c r="F24" s="305">
        <f t="shared" si="0"/>
        <v>0.35397681879665871</v>
      </c>
      <c r="H24" s="300">
        <v>2024</v>
      </c>
      <c r="I24" s="302">
        <v>500000</v>
      </c>
    </row>
    <row r="25" spans="1:10" x14ac:dyDescent="0.2">
      <c r="A25" s="300">
        <v>2024</v>
      </c>
      <c r="B25" s="306">
        <v>1515607</v>
      </c>
      <c r="D25" s="300">
        <v>2025</v>
      </c>
      <c r="E25" s="303">
        <v>4915898</v>
      </c>
      <c r="F25" s="305">
        <f t="shared" si="0"/>
        <v>0.30830725128959147</v>
      </c>
      <c r="H25" s="300">
        <v>2025</v>
      </c>
      <c r="I25" s="302">
        <v>433186</v>
      </c>
      <c r="J25" s="3"/>
    </row>
    <row r="26" spans="1:10" x14ac:dyDescent="0.2">
      <c r="A26" s="308">
        <v>2025</v>
      </c>
      <c r="B26" s="309">
        <v>-309823</v>
      </c>
      <c r="D26" s="308">
        <v>2026</v>
      </c>
      <c r="E26" s="310">
        <v>4970211</v>
      </c>
      <c r="F26" s="311">
        <f t="shared" si="0"/>
        <v>-6.2335985333419448E-2</v>
      </c>
      <c r="H26" s="308">
        <v>2026</v>
      </c>
      <c r="I26" s="312">
        <v>78647</v>
      </c>
      <c r="J26" s="3"/>
    </row>
    <row r="27" spans="1:10" x14ac:dyDescent="0.2">
      <c r="E27" s="303"/>
      <c r="F27" s="303"/>
    </row>
    <row r="28" spans="1:10" x14ac:dyDescent="0.2">
      <c r="B28" s="313"/>
      <c r="E28" s="303"/>
      <c r="F28" s="303"/>
    </row>
    <row r="29" spans="1:10" x14ac:dyDescent="0.2">
      <c r="B29" s="313"/>
    </row>
    <row r="30" spans="1:10" x14ac:dyDescent="0.2">
      <c r="B30" s="313"/>
    </row>
    <row r="31" spans="1:10" x14ac:dyDescent="0.2">
      <c r="B31" s="313"/>
    </row>
    <row r="32" spans="1:10" x14ac:dyDescent="0.2">
      <c r="B32" s="313"/>
      <c r="E32" s="303"/>
      <c r="F32" s="303"/>
    </row>
    <row r="33" spans="2:2" x14ac:dyDescent="0.2">
      <c r="B33" s="313"/>
    </row>
    <row r="34" spans="2:2" x14ac:dyDescent="0.2">
      <c r="B34" s="313"/>
    </row>
    <row r="35" spans="2:2" x14ac:dyDescent="0.2">
      <c r="B35" s="313"/>
    </row>
    <row r="36" spans="2:2" x14ac:dyDescent="0.2">
      <c r="B36" s="313"/>
    </row>
    <row r="37" spans="2:2" x14ac:dyDescent="0.2">
      <c r="B37" s="313"/>
    </row>
    <row r="38" spans="2:2" x14ac:dyDescent="0.2">
      <c r="B38" s="313"/>
    </row>
    <row r="39" spans="2:2" x14ac:dyDescent="0.2">
      <c r="B39" s="313"/>
    </row>
  </sheetData>
  <mergeCells count="3">
    <mergeCell ref="A3:J3"/>
    <mergeCell ref="A7:B7"/>
    <mergeCell ref="D7:E7"/>
  </mergeCells>
  <pageMargins left="0.7" right="0.7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1C49-E302-4B30-9E4A-A973C60B1FEC}">
  <dimension ref="A1:T60"/>
  <sheetViews>
    <sheetView view="pageBreakPreview" topLeftCell="C1" zoomScale="59" zoomScaleNormal="100" workbookViewId="0">
      <selection activeCell="Q31" sqref="Q31"/>
    </sheetView>
  </sheetViews>
  <sheetFormatPr defaultColWidth="9.140625" defaultRowHeight="15.75" x14ac:dyDescent="0.25"/>
  <cols>
    <col min="1" max="1" width="4.28515625" style="83" customWidth="1"/>
    <col min="2" max="2" width="6" style="83" customWidth="1"/>
    <col min="3" max="3" width="9.140625" style="83"/>
    <col min="4" max="4" width="74" style="83" bestFit="1" customWidth="1"/>
    <col min="5" max="5" width="4.7109375" style="83" customWidth="1"/>
    <col min="6" max="6" width="17.140625" style="221" customWidth="1"/>
    <col min="7" max="7" width="3.7109375" style="221" customWidth="1"/>
    <col min="8" max="8" width="15.28515625" style="221" customWidth="1"/>
    <col min="9" max="9" width="5.7109375" style="83" customWidth="1"/>
    <col min="10" max="10" width="16.28515625" style="83" customWidth="1"/>
    <col min="11" max="11" width="5.7109375" style="83" customWidth="1"/>
    <col min="12" max="12" width="15" style="83" customWidth="1"/>
    <col min="13" max="13" width="3.85546875" style="83" customWidth="1"/>
    <col min="14" max="14" width="14.42578125" style="83" customWidth="1"/>
    <col min="15" max="15" width="13.85546875" style="221" customWidth="1"/>
    <col min="16" max="16" width="10.28515625" style="83" customWidth="1"/>
    <col min="17" max="17" width="12.5703125" style="84" customWidth="1"/>
    <col min="18" max="20" width="9.140625" style="83"/>
    <col min="21" max="21" width="13.42578125" style="83" customWidth="1"/>
    <col min="22" max="16384" width="9.140625" style="83"/>
  </cols>
  <sheetData>
    <row r="1" spans="1:20" ht="21" x14ac:dyDescent="0.35">
      <c r="A1" s="82" t="s">
        <v>650</v>
      </c>
      <c r="B1" s="82"/>
      <c r="C1" s="82"/>
      <c r="D1" s="82"/>
      <c r="E1" s="82"/>
      <c r="F1" s="208"/>
      <c r="G1" s="208"/>
      <c r="H1" s="83"/>
      <c r="O1" s="209">
        <v>0.15</v>
      </c>
    </row>
    <row r="2" spans="1:20" x14ac:dyDescent="0.25">
      <c r="A2" s="210"/>
      <c r="B2" s="210"/>
      <c r="C2" s="210"/>
      <c r="D2" s="210"/>
      <c r="E2" s="210"/>
      <c r="F2" s="211" t="s">
        <v>410</v>
      </c>
      <c r="G2" s="211"/>
      <c r="H2" s="212" t="s">
        <v>480</v>
      </c>
      <c r="I2" s="210"/>
      <c r="J2" s="212" t="s">
        <v>488</v>
      </c>
      <c r="K2" s="210"/>
      <c r="L2" s="213" t="s">
        <v>651</v>
      </c>
      <c r="M2" s="213"/>
      <c r="N2" s="213" t="s">
        <v>651</v>
      </c>
      <c r="O2" s="211" t="s">
        <v>663</v>
      </c>
    </row>
    <row r="3" spans="1:20" ht="48" thickBot="1" x14ac:dyDescent="0.3">
      <c r="B3" s="214" t="s">
        <v>652</v>
      </c>
      <c r="E3" s="215"/>
      <c r="F3" s="216" t="s">
        <v>481</v>
      </c>
      <c r="G3" s="216"/>
      <c r="H3" s="216" t="s">
        <v>481</v>
      </c>
      <c r="I3" s="215"/>
      <c r="J3" s="216" t="s">
        <v>649</v>
      </c>
      <c r="K3" s="215"/>
      <c r="L3" s="217" t="s">
        <v>653</v>
      </c>
      <c r="M3" s="217"/>
      <c r="N3" s="217" t="s">
        <v>654</v>
      </c>
      <c r="O3" s="216" t="s">
        <v>655</v>
      </c>
    </row>
    <row r="4" spans="1:20" x14ac:dyDescent="0.25">
      <c r="A4" s="55" t="s">
        <v>656</v>
      </c>
      <c r="B4" s="55"/>
      <c r="C4" s="55"/>
      <c r="E4" s="218"/>
      <c r="F4" s="219">
        <v>708712</v>
      </c>
      <c r="G4" s="219"/>
      <c r="H4" s="219">
        <v>340362</v>
      </c>
      <c r="I4" s="218"/>
      <c r="J4" s="220">
        <v>-1274361</v>
      </c>
      <c r="K4" s="218"/>
      <c r="L4" s="220"/>
      <c r="M4" s="220"/>
      <c r="N4" s="220"/>
      <c r="O4" s="219"/>
    </row>
    <row r="5" spans="1:20" x14ac:dyDescent="0.25">
      <c r="D5" s="83" t="s">
        <v>680</v>
      </c>
      <c r="J5" s="84"/>
      <c r="L5" s="84">
        <v>563444</v>
      </c>
      <c r="M5" s="84"/>
      <c r="N5" s="84"/>
    </row>
    <row r="6" spans="1:20" x14ac:dyDescent="0.25">
      <c r="D6" s="83" t="s">
        <v>668</v>
      </c>
      <c r="J6" s="84"/>
      <c r="L6" s="84">
        <v>987004</v>
      </c>
      <c r="M6" s="84"/>
      <c r="N6" s="84"/>
    </row>
    <row r="7" spans="1:20" x14ac:dyDescent="0.25">
      <c r="D7" s="83" t="s">
        <v>669</v>
      </c>
      <c r="J7" s="84"/>
      <c r="L7" s="84">
        <v>418527</v>
      </c>
      <c r="M7" s="84"/>
      <c r="N7" s="84"/>
    </row>
    <row r="8" spans="1:20" x14ac:dyDescent="0.25">
      <c r="J8" s="84"/>
      <c r="L8" s="84"/>
      <c r="M8" s="84"/>
      <c r="N8" s="84"/>
    </row>
    <row r="9" spans="1:20" x14ac:dyDescent="0.25">
      <c r="J9" s="84"/>
      <c r="L9" s="84"/>
      <c r="M9" s="84"/>
      <c r="N9" s="84"/>
    </row>
    <row r="10" spans="1:20" x14ac:dyDescent="0.25">
      <c r="J10" s="84"/>
      <c r="L10" s="84"/>
      <c r="M10" s="84"/>
      <c r="N10" s="84"/>
    </row>
    <row r="11" spans="1:20" x14ac:dyDescent="0.25">
      <c r="J11" s="84"/>
      <c r="L11" s="84"/>
      <c r="M11" s="84"/>
      <c r="N11" s="84"/>
    </row>
    <row r="12" spans="1:20" x14ac:dyDescent="0.25">
      <c r="J12" s="84"/>
      <c r="L12" s="84"/>
      <c r="M12" s="84"/>
      <c r="N12" s="84"/>
    </row>
    <row r="13" spans="1:20" ht="16.5" thickBot="1" x14ac:dyDescent="0.3">
      <c r="J13" s="84"/>
      <c r="L13" s="84"/>
      <c r="M13" s="84"/>
      <c r="N13" s="84"/>
    </row>
    <row r="14" spans="1:20" ht="16.5" thickBot="1" x14ac:dyDescent="0.3">
      <c r="A14" s="222"/>
      <c r="B14" s="222"/>
      <c r="C14" s="222"/>
      <c r="D14" s="83" t="s">
        <v>657</v>
      </c>
      <c r="E14" s="223"/>
      <c r="F14" s="224">
        <f>SUM(F4:F4)</f>
        <v>708712</v>
      </c>
      <c r="G14" s="224"/>
      <c r="H14" s="224">
        <f>SUM(H4:H4)</f>
        <v>340362</v>
      </c>
      <c r="I14" s="223"/>
      <c r="J14" s="225">
        <f>SUM(J4:J4)</f>
        <v>-1274361</v>
      </c>
      <c r="K14" s="223"/>
      <c r="L14" s="225">
        <f>SUM(L4:L13)</f>
        <v>1968975</v>
      </c>
      <c r="M14" s="225"/>
      <c r="N14" s="225">
        <f>J14+L14</f>
        <v>694614</v>
      </c>
      <c r="O14" s="226">
        <f>'FY27 Expense'!G476*O1</f>
        <v>378270.08750999998</v>
      </c>
    </row>
    <row r="15" spans="1:20" ht="16.5" thickBot="1" x14ac:dyDescent="0.3">
      <c r="A15" s="55"/>
      <c r="B15" s="55"/>
      <c r="C15" s="55"/>
      <c r="J15" s="84"/>
      <c r="L15" s="84"/>
      <c r="M15" s="84"/>
      <c r="N15" s="84"/>
      <c r="R15" s="84"/>
    </row>
    <row r="16" spans="1:20" ht="16.5" thickBot="1" x14ac:dyDescent="0.3">
      <c r="A16" s="55"/>
      <c r="B16" s="55"/>
      <c r="C16" s="55"/>
      <c r="D16" s="83" t="s">
        <v>658</v>
      </c>
      <c r="J16" s="84"/>
      <c r="L16" s="84"/>
      <c r="M16" s="84"/>
      <c r="N16" s="84"/>
      <c r="O16" s="84">
        <f>SUM(N14-O14)</f>
        <v>316343.91249000002</v>
      </c>
      <c r="P16" s="83" t="s">
        <v>670</v>
      </c>
      <c r="Q16" s="225">
        <v>250000</v>
      </c>
      <c r="R16" s="225" t="s">
        <v>677</v>
      </c>
      <c r="S16" s="223"/>
      <c r="T16" s="223"/>
    </row>
    <row r="17" spans="1:18" x14ac:dyDescent="0.25">
      <c r="A17" s="55"/>
      <c r="B17" s="55"/>
      <c r="C17" s="55"/>
      <c r="J17" s="84"/>
      <c r="L17" s="84"/>
      <c r="M17" s="84"/>
      <c r="N17" s="84"/>
      <c r="Q17" s="84">
        <f>O16-Q16</f>
        <v>66343.912490000017</v>
      </c>
      <c r="R17" s="83" t="s">
        <v>678</v>
      </c>
    </row>
    <row r="18" spans="1:18" x14ac:dyDescent="0.25">
      <c r="A18" s="55" t="s">
        <v>659</v>
      </c>
      <c r="B18" s="55"/>
      <c r="C18" s="55"/>
      <c r="F18" s="221">
        <v>922673</v>
      </c>
      <c r="H18" s="221">
        <v>1176344</v>
      </c>
      <c r="J18" s="84">
        <v>964538</v>
      </c>
      <c r="L18" s="84"/>
      <c r="M18" s="84"/>
      <c r="N18" s="84"/>
    </row>
    <row r="19" spans="1:18" x14ac:dyDescent="0.25">
      <c r="A19" s="55"/>
      <c r="B19" s="55"/>
      <c r="C19" s="55"/>
      <c r="D19" s="322" t="s">
        <v>860</v>
      </c>
      <c r="E19" s="83" t="s">
        <v>12</v>
      </c>
      <c r="J19" s="84"/>
      <c r="L19" s="84">
        <v>5000</v>
      </c>
      <c r="M19" s="84"/>
      <c r="N19" s="84"/>
    </row>
    <row r="20" spans="1:18" x14ac:dyDescent="0.25">
      <c r="A20" s="55"/>
      <c r="C20" s="55"/>
      <c r="D20" s="83" t="s">
        <v>748</v>
      </c>
      <c r="J20" s="84"/>
      <c r="L20" s="227">
        <v>-78647</v>
      </c>
      <c r="M20" s="84"/>
      <c r="N20" s="84"/>
    </row>
    <row r="21" spans="1:18" x14ac:dyDescent="0.25">
      <c r="A21" s="55"/>
      <c r="C21" s="55"/>
      <c r="D21" s="83" t="s">
        <v>672</v>
      </c>
      <c r="J21" s="84"/>
      <c r="L21" s="227">
        <v>85353</v>
      </c>
      <c r="M21" s="84"/>
      <c r="N21" s="84"/>
    </row>
    <row r="22" spans="1:18" x14ac:dyDescent="0.25">
      <c r="A22" s="55"/>
      <c r="C22" s="55"/>
      <c r="D22" s="83" t="s">
        <v>674</v>
      </c>
      <c r="J22" s="84"/>
      <c r="L22" s="227">
        <v>103810</v>
      </c>
      <c r="M22" s="84"/>
      <c r="N22" s="84"/>
    </row>
    <row r="23" spans="1:18" x14ac:dyDescent="0.25">
      <c r="D23" s="83" t="s">
        <v>684</v>
      </c>
      <c r="F23" s="83"/>
      <c r="G23" s="83"/>
      <c r="J23" s="84"/>
      <c r="L23" s="84">
        <v>66277.5</v>
      </c>
      <c r="M23" s="84"/>
      <c r="N23" s="84"/>
    </row>
    <row r="24" spans="1:18" x14ac:dyDescent="0.25">
      <c r="D24" s="83" t="s">
        <v>685</v>
      </c>
      <c r="F24" s="83"/>
      <c r="G24" s="83"/>
      <c r="J24" s="84"/>
      <c r="L24" s="84">
        <v>-15912.5</v>
      </c>
      <c r="M24" s="84"/>
      <c r="N24" s="84"/>
    </row>
    <row r="25" spans="1:18" x14ac:dyDescent="0.25">
      <c r="A25" s="55"/>
      <c r="C25" s="55"/>
      <c r="D25" s="83" t="s">
        <v>686</v>
      </c>
      <c r="J25" s="84"/>
      <c r="L25" s="227">
        <v>16903</v>
      </c>
      <c r="M25" s="84"/>
      <c r="N25" s="84"/>
    </row>
    <row r="26" spans="1:18" x14ac:dyDescent="0.25">
      <c r="A26" s="55"/>
      <c r="C26" s="55"/>
      <c r="D26" s="83" t="s">
        <v>667</v>
      </c>
      <c r="J26" s="84"/>
      <c r="L26" s="227">
        <v>22473</v>
      </c>
      <c r="M26" s="84"/>
      <c r="N26" s="84"/>
    </row>
    <row r="27" spans="1:18" x14ac:dyDescent="0.25">
      <c r="D27" s="83" t="s">
        <v>666</v>
      </c>
      <c r="F27" s="83"/>
      <c r="G27" s="83"/>
      <c r="J27" s="84"/>
      <c r="L27" s="84">
        <v>-144911</v>
      </c>
      <c r="M27" s="84"/>
      <c r="N27" s="84"/>
    </row>
    <row r="28" spans="1:18" x14ac:dyDescent="0.25">
      <c r="D28" s="83" t="s">
        <v>673</v>
      </c>
      <c r="F28" s="83"/>
      <c r="G28" s="83"/>
      <c r="J28" s="84"/>
      <c r="L28" s="84">
        <v>25000</v>
      </c>
      <c r="M28" s="84"/>
      <c r="N28" s="84"/>
    </row>
    <row r="29" spans="1:18" ht="15" customHeight="1" x14ac:dyDescent="0.25">
      <c r="D29" s="83" t="s">
        <v>690</v>
      </c>
      <c r="F29" s="83"/>
      <c r="G29" s="83"/>
      <c r="J29" s="84"/>
      <c r="L29" s="84">
        <v>47150</v>
      </c>
      <c r="M29" s="84"/>
      <c r="N29" s="84"/>
    </row>
    <row r="30" spans="1:18" x14ac:dyDescent="0.25">
      <c r="D30" s="83" t="s">
        <v>691</v>
      </c>
      <c r="F30" s="83"/>
      <c r="G30" s="83"/>
      <c r="J30" s="84"/>
      <c r="L30" s="84">
        <v>-5236</v>
      </c>
      <c r="M30" s="84"/>
      <c r="N30" s="84"/>
    </row>
    <row r="31" spans="1:18" x14ac:dyDescent="0.25">
      <c r="D31" s="83" t="s">
        <v>675</v>
      </c>
      <c r="F31" s="83"/>
      <c r="G31" s="83"/>
      <c r="J31" s="84"/>
      <c r="L31" s="84">
        <v>-22665</v>
      </c>
      <c r="M31" s="84"/>
      <c r="N31" s="84"/>
    </row>
    <row r="32" spans="1:18" x14ac:dyDescent="0.25">
      <c r="D32" s="83" t="s">
        <v>679</v>
      </c>
      <c r="F32" s="83"/>
      <c r="G32" s="83"/>
      <c r="J32" s="84"/>
      <c r="L32" s="84">
        <v>9946</v>
      </c>
      <c r="M32" s="84"/>
      <c r="N32" s="84"/>
    </row>
    <row r="33" spans="1:19" ht="16.5" thickBot="1" x14ac:dyDescent="0.3">
      <c r="F33" s="83"/>
      <c r="G33" s="83"/>
      <c r="J33" s="84"/>
      <c r="L33" s="84"/>
      <c r="M33" s="84"/>
      <c r="N33" s="84"/>
    </row>
    <row r="34" spans="1:19" ht="16.5" thickBot="1" x14ac:dyDescent="0.3">
      <c r="A34" s="222"/>
      <c r="B34" s="222"/>
      <c r="C34" s="222"/>
      <c r="D34" s="83" t="s">
        <v>657</v>
      </c>
      <c r="E34" s="223"/>
      <c r="F34" s="224">
        <f>SUM(F18:F18)</f>
        <v>922673</v>
      </c>
      <c r="G34" s="224"/>
      <c r="H34" s="224">
        <f>SUM(H18:H18)</f>
        <v>1176344</v>
      </c>
      <c r="I34" s="223"/>
      <c r="J34" s="224">
        <f>SUM(J18:J18)</f>
        <v>964538</v>
      </c>
      <c r="K34" s="223"/>
      <c r="L34" s="225">
        <f>SUM(L18:L33)</f>
        <v>114541</v>
      </c>
      <c r="M34" s="225"/>
      <c r="N34" s="225">
        <f>J34+L34</f>
        <v>1079079</v>
      </c>
      <c r="O34" s="226">
        <f>'FY27 Expense'!G380*O1</f>
        <v>515125.24077959993</v>
      </c>
      <c r="Q34" s="84">
        <v>100000</v>
      </c>
      <c r="R34" s="83" t="s">
        <v>688</v>
      </c>
    </row>
    <row r="35" spans="1:19" x14ac:dyDescent="0.25">
      <c r="A35" s="55"/>
      <c r="B35" s="55"/>
      <c r="C35" s="55"/>
      <c r="J35" s="84"/>
      <c r="L35" s="84"/>
      <c r="M35" s="84"/>
      <c r="N35" s="84"/>
      <c r="Q35" s="84">
        <v>20000</v>
      </c>
      <c r="R35" s="83" t="s">
        <v>676</v>
      </c>
    </row>
    <row r="36" spans="1:19" x14ac:dyDescent="0.25">
      <c r="A36" s="55"/>
      <c r="B36" s="55"/>
      <c r="C36" s="55"/>
      <c r="D36" s="83" t="s">
        <v>660</v>
      </c>
      <c r="J36" s="84"/>
      <c r="L36" s="84"/>
      <c r="M36" s="84"/>
      <c r="N36" s="84"/>
      <c r="O36" s="221">
        <f>N34-O34</f>
        <v>563953.75922040013</v>
      </c>
      <c r="P36" s="83" t="s">
        <v>661</v>
      </c>
      <c r="Q36" s="84">
        <v>50000</v>
      </c>
      <c r="R36" s="83" t="s">
        <v>687</v>
      </c>
    </row>
    <row r="37" spans="1:19" x14ac:dyDescent="0.25">
      <c r="A37" s="55"/>
      <c r="B37" s="55"/>
      <c r="C37" s="55"/>
      <c r="J37" s="84"/>
      <c r="L37" s="84"/>
      <c r="M37" s="84"/>
      <c r="N37" s="84"/>
      <c r="Q37" s="84">
        <v>10000</v>
      </c>
      <c r="R37" s="83" t="s">
        <v>874</v>
      </c>
    </row>
    <row r="38" spans="1:19" ht="16.5" thickBot="1" x14ac:dyDescent="0.3">
      <c r="A38" s="55"/>
      <c r="B38" s="55"/>
      <c r="C38" s="55"/>
      <c r="J38" s="84"/>
      <c r="L38" s="84"/>
      <c r="M38" s="84"/>
      <c r="N38" s="84"/>
      <c r="Q38" s="84">
        <v>110000</v>
      </c>
      <c r="R38" s="83" t="s">
        <v>876</v>
      </c>
    </row>
    <row r="39" spans="1:19" ht="16.5" thickBot="1" x14ac:dyDescent="0.3">
      <c r="A39" s="222"/>
      <c r="B39" s="222"/>
      <c r="C39" s="222"/>
      <c r="D39" s="83" t="s">
        <v>411</v>
      </c>
      <c r="E39" s="228"/>
      <c r="F39" s="229">
        <f>SUM(F14+F34)</f>
        <v>1631385</v>
      </c>
      <c r="G39" s="229"/>
      <c r="H39" s="229">
        <f>SUM(H14+H34)</f>
        <v>1516706</v>
      </c>
      <c r="I39" s="229"/>
      <c r="J39" s="228">
        <f>SUM(J34,J14)</f>
        <v>-309823</v>
      </c>
      <c r="K39" s="229"/>
      <c r="L39" s="230">
        <f>SUM(L14+L34)</f>
        <v>2083516</v>
      </c>
      <c r="M39" s="230"/>
      <c r="N39" s="230">
        <f>SUM(N14+N34)</f>
        <v>1773693</v>
      </c>
      <c r="O39" s="231">
        <f>O14+O34</f>
        <v>893395.32828959986</v>
      </c>
      <c r="Q39" s="225">
        <f>SUM(Q34:Q38)</f>
        <v>290000</v>
      </c>
      <c r="R39" s="223" t="s">
        <v>411</v>
      </c>
      <c r="S39" s="223"/>
    </row>
    <row r="40" spans="1:19" ht="16.5" thickTop="1" x14ac:dyDescent="0.25">
      <c r="A40" s="222"/>
      <c r="B40" s="222"/>
      <c r="C40" s="222"/>
      <c r="E40" s="232"/>
      <c r="F40" s="233"/>
      <c r="G40" s="233"/>
      <c r="H40" s="233"/>
      <c r="I40" s="233"/>
      <c r="J40" s="233"/>
      <c r="K40" s="233"/>
      <c r="L40" s="84"/>
      <c r="M40" s="84"/>
      <c r="N40" s="84"/>
      <c r="O40" s="234"/>
      <c r="Q40" s="84">
        <f>O36-Q39</f>
        <v>273953.75922040013</v>
      </c>
      <c r="R40" s="83" t="s">
        <v>678</v>
      </c>
    </row>
    <row r="41" spans="1:19" x14ac:dyDescent="0.25">
      <c r="A41" s="222"/>
      <c r="B41" s="222"/>
      <c r="C41" s="222"/>
      <c r="E41" s="232"/>
      <c r="F41" s="233"/>
      <c r="G41" s="233"/>
      <c r="H41" s="233"/>
      <c r="I41" s="233"/>
      <c r="J41" s="233"/>
      <c r="K41" s="233"/>
      <c r="L41" s="84"/>
      <c r="M41" s="84"/>
      <c r="N41" s="84"/>
      <c r="O41" s="234"/>
    </row>
    <row r="42" spans="1:19" x14ac:dyDescent="0.25">
      <c r="A42" s="222"/>
      <c r="B42" s="222"/>
      <c r="C42" s="222"/>
      <c r="E42" s="232"/>
      <c r="F42" s="233"/>
      <c r="G42" s="233"/>
      <c r="H42" s="233"/>
      <c r="I42" s="233"/>
      <c r="J42" s="233"/>
      <c r="K42" s="233"/>
      <c r="L42" s="84"/>
      <c r="M42" s="84"/>
      <c r="N42" s="84"/>
      <c r="O42" s="234">
        <f>N39-O39</f>
        <v>880297.67171040014</v>
      </c>
      <c r="P42" s="83" t="s">
        <v>671</v>
      </c>
      <c r="Q42" s="84" t="s">
        <v>662</v>
      </c>
    </row>
    <row r="43" spans="1:19" x14ac:dyDescent="0.25">
      <c r="A43" s="222"/>
      <c r="B43" s="222"/>
      <c r="C43" s="222"/>
      <c r="E43" s="232"/>
      <c r="F43" s="233"/>
      <c r="G43" s="233"/>
      <c r="H43" s="233"/>
      <c r="I43" s="233"/>
      <c r="J43" s="233"/>
      <c r="K43" s="233"/>
      <c r="L43" s="84"/>
      <c r="M43" s="84"/>
      <c r="N43" s="84"/>
      <c r="O43" s="234"/>
    </row>
    <row r="44" spans="1:19" x14ac:dyDescent="0.25">
      <c r="A44" s="222"/>
      <c r="B44" s="222"/>
      <c r="C44" s="222"/>
      <c r="E44" s="232"/>
      <c r="F44" s="233"/>
      <c r="G44" s="233"/>
      <c r="H44" s="235"/>
      <c r="I44" s="235"/>
      <c r="J44" s="235"/>
      <c r="K44" s="235"/>
      <c r="L44" s="84"/>
      <c r="M44" s="84"/>
      <c r="N44" s="84"/>
    </row>
    <row r="45" spans="1:19" x14ac:dyDescent="0.25">
      <c r="A45" s="222"/>
      <c r="B45" s="222"/>
      <c r="C45" s="222"/>
      <c r="E45" s="232"/>
      <c r="F45" s="233"/>
      <c r="G45" s="233"/>
      <c r="H45" s="235"/>
      <c r="I45" s="235"/>
      <c r="J45" s="235"/>
      <c r="K45" s="235"/>
      <c r="L45" s="84"/>
      <c r="M45" s="84"/>
      <c r="N45" s="84"/>
    </row>
    <row r="46" spans="1:19" x14ac:dyDescent="0.25">
      <c r="A46" s="222"/>
      <c r="B46" s="222"/>
      <c r="C46" s="222"/>
      <c r="E46" s="232"/>
      <c r="F46" s="233"/>
      <c r="G46" s="233"/>
      <c r="H46" s="235"/>
      <c r="I46" s="235"/>
      <c r="J46" s="235"/>
      <c r="K46" s="235"/>
      <c r="L46" s="84"/>
      <c r="M46" s="84"/>
      <c r="N46" s="84"/>
    </row>
    <row r="47" spans="1:19" x14ac:dyDescent="0.25">
      <c r="A47" s="222"/>
      <c r="B47" s="222"/>
      <c r="C47" s="222"/>
      <c r="E47" s="232"/>
      <c r="F47" s="233"/>
      <c r="G47" s="233"/>
      <c r="H47" s="235"/>
      <c r="I47" s="235"/>
      <c r="J47" s="235"/>
      <c r="K47" s="235"/>
      <c r="L47" s="84"/>
      <c r="M47" s="84"/>
      <c r="N47" s="84"/>
    </row>
    <row r="48" spans="1:19" x14ac:dyDescent="0.25">
      <c r="A48" s="222"/>
      <c r="B48" s="222"/>
      <c r="C48" s="222"/>
      <c r="E48" s="232"/>
      <c r="F48" s="233"/>
      <c r="G48" s="233"/>
      <c r="H48" s="235"/>
      <c r="I48" s="235"/>
      <c r="J48" s="235"/>
      <c r="K48" s="235"/>
      <c r="L48" s="84"/>
      <c r="M48" s="84"/>
      <c r="N48" s="84"/>
    </row>
    <row r="49" spans="1:15" x14ac:dyDescent="0.25">
      <c r="A49" s="222"/>
      <c r="B49" s="222"/>
      <c r="C49" s="222"/>
      <c r="E49" s="232"/>
      <c r="F49" s="233"/>
      <c r="G49" s="233"/>
      <c r="H49" s="235"/>
      <c r="I49" s="235"/>
      <c r="J49" s="235"/>
      <c r="K49" s="235"/>
      <c r="L49" s="84"/>
      <c r="M49" s="84"/>
      <c r="N49" s="84"/>
    </row>
    <row r="50" spans="1:15" x14ac:dyDescent="0.25">
      <c r="A50" s="222"/>
      <c r="B50" s="222"/>
      <c r="C50" s="222"/>
      <c r="E50" s="232"/>
      <c r="F50" s="233"/>
      <c r="G50" s="233"/>
      <c r="H50" s="235"/>
      <c r="I50" s="235"/>
      <c r="J50" s="235"/>
      <c r="K50" s="235"/>
      <c r="L50" s="84"/>
      <c r="M50" s="84"/>
      <c r="N50" s="84"/>
    </row>
    <row r="51" spans="1:15" x14ac:dyDescent="0.25">
      <c r="A51" s="222"/>
      <c r="B51" s="222"/>
      <c r="C51" s="222"/>
      <c r="E51" s="232"/>
      <c r="F51" s="233"/>
      <c r="G51" s="233"/>
      <c r="H51" s="235"/>
      <c r="I51" s="235"/>
      <c r="J51" s="235"/>
      <c r="K51" s="235"/>
      <c r="L51" s="84"/>
      <c r="M51" s="84"/>
      <c r="N51" s="84"/>
    </row>
    <row r="52" spans="1:15" x14ac:dyDescent="0.25">
      <c r="A52" s="222"/>
      <c r="B52" s="222"/>
      <c r="C52" s="222"/>
      <c r="E52" s="232"/>
      <c r="F52" s="233"/>
      <c r="G52" s="233"/>
      <c r="H52" s="235"/>
      <c r="I52" s="235"/>
      <c r="J52" s="235"/>
      <c r="K52" s="235"/>
      <c r="L52" s="84"/>
      <c r="M52" s="84"/>
      <c r="N52" s="84"/>
    </row>
    <row r="53" spans="1:15" x14ac:dyDescent="0.25">
      <c r="A53" s="222"/>
      <c r="B53" s="222"/>
      <c r="C53" s="222"/>
      <c r="E53" s="232"/>
      <c r="F53" s="233"/>
      <c r="G53" s="233"/>
      <c r="H53" s="235"/>
      <c r="I53" s="235"/>
      <c r="J53" s="235"/>
      <c r="K53" s="235"/>
      <c r="L53" s="84"/>
      <c r="M53" s="84"/>
      <c r="N53" s="84"/>
    </row>
    <row r="54" spans="1:15" x14ac:dyDescent="0.25">
      <c r="A54" s="222"/>
      <c r="B54" s="222"/>
      <c r="C54" s="222"/>
      <c r="E54" s="232"/>
      <c r="F54" s="233"/>
      <c r="G54" s="233"/>
      <c r="H54" s="235"/>
      <c r="I54" s="235"/>
      <c r="J54" s="235"/>
      <c r="K54" s="235"/>
      <c r="L54" s="84"/>
      <c r="M54" s="84"/>
      <c r="N54" s="84"/>
    </row>
    <row r="55" spans="1:15" x14ac:dyDescent="0.25">
      <c r="A55" s="222"/>
      <c r="B55" s="222"/>
      <c r="C55" s="222"/>
      <c r="E55" s="232"/>
      <c r="F55" s="233"/>
      <c r="G55" s="233"/>
      <c r="H55" s="235"/>
      <c r="I55" s="235"/>
      <c r="J55" s="235"/>
      <c r="K55" s="235"/>
      <c r="L55" s="84"/>
      <c r="M55" s="84"/>
      <c r="N55" s="84"/>
    </row>
    <row r="56" spans="1:15" x14ac:dyDescent="0.25">
      <c r="A56" s="222"/>
      <c r="B56" s="222"/>
      <c r="C56" s="222"/>
      <c r="E56" s="232"/>
      <c r="F56" s="233"/>
      <c r="G56" s="233"/>
      <c r="H56" s="235"/>
      <c r="I56" s="235"/>
      <c r="J56" s="235"/>
      <c r="K56" s="235"/>
      <c r="L56" s="84"/>
      <c r="M56" s="84"/>
      <c r="N56" s="84"/>
    </row>
    <row r="57" spans="1:15" x14ac:dyDescent="0.25">
      <c r="A57" s="222"/>
      <c r="B57" s="222"/>
      <c r="C57" s="222"/>
      <c r="E57" s="232"/>
      <c r="F57" s="233"/>
      <c r="G57" s="233"/>
      <c r="H57" s="235"/>
      <c r="I57" s="235"/>
      <c r="J57" s="235"/>
      <c r="K57" s="235"/>
      <c r="L57" s="84"/>
      <c r="M57" s="84"/>
      <c r="N57" s="84"/>
      <c r="O57" s="236"/>
    </row>
    <row r="58" spans="1:15" x14ac:dyDescent="0.25">
      <c r="A58" s="222"/>
      <c r="B58" s="222"/>
      <c r="C58" s="222"/>
      <c r="E58" s="232"/>
      <c r="F58" s="233"/>
      <c r="G58" s="233"/>
      <c r="H58" s="235"/>
      <c r="I58" s="235"/>
      <c r="J58" s="235"/>
      <c r="K58" s="235"/>
      <c r="L58" s="84"/>
      <c r="M58" s="84"/>
      <c r="N58" s="84"/>
    </row>
    <row r="59" spans="1:15" x14ac:dyDescent="0.25">
      <c r="A59" s="222"/>
      <c r="B59" s="222"/>
      <c r="C59" s="222"/>
      <c r="E59" s="232"/>
      <c r="F59" s="233"/>
      <c r="G59" s="233"/>
      <c r="H59" s="235"/>
      <c r="I59" s="235"/>
      <c r="J59" s="235"/>
      <c r="K59" s="235"/>
      <c r="L59" s="84"/>
      <c r="M59" s="84"/>
      <c r="N59" s="84"/>
    </row>
    <row r="60" spans="1:15" x14ac:dyDescent="0.25">
      <c r="A60" s="222"/>
      <c r="B60" s="222"/>
      <c r="C60" s="222"/>
      <c r="E60" s="232"/>
      <c r="F60" s="233"/>
      <c r="G60" s="233"/>
      <c r="H60" s="235"/>
      <c r="I60" s="235"/>
      <c r="J60" s="235"/>
      <c r="K60" s="235"/>
      <c r="L60" s="84"/>
      <c r="M60" s="84"/>
      <c r="N60" s="84"/>
    </row>
  </sheetData>
  <phoneticPr fontId="38" type="noConversion"/>
  <pageMargins left="0.7" right="0.7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F67F-189D-485C-AB6A-7F466E59FA52}">
  <dimension ref="A1:M9"/>
  <sheetViews>
    <sheetView view="pageBreakPreview" zoomScale="60" zoomScaleNormal="100" workbookViewId="0">
      <selection activeCell="L17" sqref="L17"/>
    </sheetView>
  </sheetViews>
  <sheetFormatPr defaultColWidth="9.140625" defaultRowHeight="15.75" x14ac:dyDescent="0.25"/>
  <cols>
    <col min="1" max="1" width="30.7109375" style="83" customWidth="1"/>
    <col min="2" max="2" width="3.7109375" style="83" customWidth="1"/>
    <col min="3" max="3" width="13.42578125" style="83" customWidth="1"/>
    <col min="4" max="4" width="12.85546875" style="83" customWidth="1"/>
    <col min="5" max="5" width="14" style="83" customWidth="1"/>
    <col min="6" max="6" width="13.85546875" style="83" customWidth="1"/>
    <col min="7" max="7" width="13" style="83" bestFit="1" customWidth="1"/>
    <col min="8" max="9" width="14" style="83" bestFit="1" customWidth="1"/>
    <col min="10" max="11" width="13.42578125" style="83" bestFit="1" customWidth="1"/>
    <col min="12" max="12" width="14.42578125" style="210" customWidth="1"/>
    <col min="13" max="13" width="12.28515625" style="83" customWidth="1"/>
    <col min="14" max="16384" width="9.140625" style="83"/>
  </cols>
  <sheetData>
    <row r="1" spans="1:13" ht="21.75" thickBot="1" x14ac:dyDescent="0.4">
      <c r="A1" s="82" t="s">
        <v>570</v>
      </c>
      <c r="B1" s="82"/>
      <c r="C1" s="82"/>
      <c r="D1" s="82"/>
      <c r="E1" s="82"/>
      <c r="F1" s="82"/>
      <c r="G1" s="82"/>
      <c r="H1" s="82"/>
      <c r="I1" s="82"/>
    </row>
    <row r="2" spans="1:13" x14ac:dyDescent="0.25">
      <c r="C2" s="121" t="s">
        <v>571</v>
      </c>
      <c r="D2" s="121" t="s">
        <v>572</v>
      </c>
      <c r="E2" s="121" t="s">
        <v>413</v>
      </c>
      <c r="F2" s="122" t="s">
        <v>414</v>
      </c>
      <c r="G2" s="122" t="s">
        <v>415</v>
      </c>
      <c r="H2" s="122" t="s">
        <v>416</v>
      </c>
      <c r="I2" s="122" t="s">
        <v>573</v>
      </c>
      <c r="J2" s="122" t="s">
        <v>410</v>
      </c>
      <c r="K2" s="122" t="s">
        <v>480</v>
      </c>
      <c r="L2" s="122" t="s">
        <v>488</v>
      </c>
    </row>
    <row r="3" spans="1:13" ht="32.25" thickBot="1" x14ac:dyDescent="0.3">
      <c r="C3" s="123" t="s">
        <v>574</v>
      </c>
      <c r="D3" s="123" t="s">
        <v>574</v>
      </c>
      <c r="E3" s="123" t="s">
        <v>574</v>
      </c>
      <c r="F3" s="123" t="s">
        <v>574</v>
      </c>
      <c r="G3" s="123" t="s">
        <v>574</v>
      </c>
      <c r="H3" s="123" t="s">
        <v>574</v>
      </c>
      <c r="I3" s="123" t="s">
        <v>481</v>
      </c>
      <c r="J3" s="123" t="s">
        <v>481</v>
      </c>
      <c r="K3" s="123" t="s">
        <v>481</v>
      </c>
      <c r="L3" s="123" t="s">
        <v>649</v>
      </c>
    </row>
    <row r="4" spans="1:13" x14ac:dyDescent="0.25">
      <c r="A4" s="55" t="s">
        <v>664</v>
      </c>
      <c r="C4" s="124">
        <v>0</v>
      </c>
      <c r="D4" s="124">
        <v>0</v>
      </c>
      <c r="E4" s="124">
        <v>688275</v>
      </c>
      <c r="F4" s="124">
        <v>746944</v>
      </c>
      <c r="G4" s="124">
        <v>721803</v>
      </c>
      <c r="H4" s="124">
        <v>661185</v>
      </c>
      <c r="I4" s="124">
        <v>940838</v>
      </c>
      <c r="J4" s="124">
        <v>708712</v>
      </c>
      <c r="K4" s="124">
        <v>340362</v>
      </c>
      <c r="L4" s="317">
        <v>-1274361</v>
      </c>
    </row>
    <row r="5" spans="1:13" x14ac:dyDescent="0.25">
      <c r="A5" s="55"/>
      <c r="C5" s="125"/>
      <c r="D5" s="125"/>
      <c r="E5" s="125"/>
      <c r="F5" s="125"/>
      <c r="G5" s="125"/>
      <c r="H5" s="125"/>
      <c r="I5" s="125"/>
      <c r="J5" s="125"/>
      <c r="K5" s="125"/>
      <c r="L5" s="318"/>
    </row>
    <row r="6" spans="1:13" x14ac:dyDescent="0.25">
      <c r="A6" s="55" t="s">
        <v>665</v>
      </c>
      <c r="C6" s="126">
        <v>768457</v>
      </c>
      <c r="D6" s="126">
        <v>911121</v>
      </c>
      <c r="E6" s="126">
        <v>222777</v>
      </c>
      <c r="F6" s="126">
        <v>216027</v>
      </c>
      <c r="G6" s="126">
        <v>391890</v>
      </c>
      <c r="H6" s="126">
        <v>711023</v>
      </c>
      <c r="I6" s="126">
        <v>848517</v>
      </c>
      <c r="J6" s="125">
        <v>922673</v>
      </c>
      <c r="K6" s="125">
        <v>1176344</v>
      </c>
      <c r="L6" s="317">
        <v>964538</v>
      </c>
    </row>
    <row r="7" spans="1:13" x14ac:dyDescent="0.25">
      <c r="A7" s="55"/>
      <c r="C7" s="126"/>
      <c r="D7" s="126"/>
      <c r="E7" s="126"/>
      <c r="F7" s="126"/>
      <c r="G7" s="126"/>
      <c r="H7" s="126"/>
      <c r="I7" s="126"/>
      <c r="J7" s="125"/>
      <c r="K7" s="125"/>
      <c r="L7" s="318"/>
    </row>
    <row r="8" spans="1:13" ht="16.5" thickBot="1" x14ac:dyDescent="0.3">
      <c r="A8" s="55" t="s">
        <v>411</v>
      </c>
      <c r="C8" s="127">
        <f t="shared" ref="C8:K8" si="0">SUM(C4:C7)</f>
        <v>768457</v>
      </c>
      <c r="D8" s="127">
        <f t="shared" si="0"/>
        <v>911121</v>
      </c>
      <c r="E8" s="127">
        <f t="shared" si="0"/>
        <v>911052</v>
      </c>
      <c r="F8" s="127">
        <f t="shared" si="0"/>
        <v>962971</v>
      </c>
      <c r="G8" s="127">
        <f t="shared" si="0"/>
        <v>1113693</v>
      </c>
      <c r="H8" s="127">
        <f t="shared" si="0"/>
        <v>1372208</v>
      </c>
      <c r="I8" s="127">
        <f t="shared" si="0"/>
        <v>1789355</v>
      </c>
      <c r="J8" s="127">
        <f t="shared" si="0"/>
        <v>1631385</v>
      </c>
      <c r="K8" s="127">
        <f t="shared" si="0"/>
        <v>1516706</v>
      </c>
      <c r="L8" s="319">
        <f>SUM(L4:L7)</f>
        <v>-309823</v>
      </c>
    </row>
    <row r="9" spans="1:13" x14ac:dyDescent="0.25">
      <c r="A9" s="55"/>
      <c r="C9" s="84"/>
      <c r="D9" s="84"/>
      <c r="E9" s="84"/>
      <c r="F9" s="84"/>
      <c r="G9" s="84"/>
      <c r="H9" s="84"/>
      <c r="I9" s="84"/>
      <c r="J9" s="84"/>
      <c r="K9" s="84"/>
      <c r="L9" s="320"/>
      <c r="M9" s="84"/>
    </row>
  </sheetData>
  <pageMargins left="0.7" right="0.7" top="0.75" bottom="0.75" header="0.3" footer="0.3"/>
  <pageSetup scale="7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E6F6-843E-4BDF-B9F5-0A293D3222C6}">
  <sheetPr>
    <pageSetUpPr fitToPage="1"/>
  </sheetPr>
  <dimension ref="A1:N72"/>
  <sheetViews>
    <sheetView view="pageBreakPreview" zoomScale="60" zoomScaleNormal="100" workbookViewId="0">
      <pane xSplit="3" ySplit="2" topLeftCell="E12" activePane="bottomRight" state="frozen"/>
      <selection pane="topRight" activeCell="D1" sqref="D1"/>
      <selection pane="bottomLeft" activeCell="A3" sqref="A3"/>
      <selection pane="bottomRight" activeCell="H62" sqref="H62"/>
    </sheetView>
  </sheetViews>
  <sheetFormatPr defaultColWidth="9.140625" defaultRowHeight="18" x14ac:dyDescent="0.25"/>
  <cols>
    <col min="1" max="1" width="9.140625" style="64"/>
    <col min="2" max="2" width="15.28515625" style="65" customWidth="1"/>
    <col min="3" max="3" width="47.85546875" style="65" customWidth="1"/>
    <col min="4" max="4" width="18.7109375" style="81" customWidth="1"/>
    <col min="5" max="5" width="5" style="65" customWidth="1"/>
    <col min="6" max="6" width="18.7109375" style="81" customWidth="1"/>
    <col min="7" max="7" width="5" style="65" customWidth="1"/>
    <col min="8" max="8" width="18.7109375" style="81" customWidth="1"/>
    <col min="9" max="9" width="5" style="65" customWidth="1"/>
    <col min="10" max="10" width="18.7109375" style="81" customWidth="1"/>
    <col min="11" max="11" width="4.85546875" style="65" customWidth="1"/>
    <col min="12" max="12" width="19.140625" style="90" customWidth="1"/>
    <col min="13" max="13" width="9.140625" style="65"/>
    <col min="14" max="14" width="19.140625" style="90" customWidth="1"/>
    <col min="15" max="16384" width="9.140625" style="65"/>
  </cols>
  <sheetData>
    <row r="1" spans="1:14" s="64" customFormat="1" x14ac:dyDescent="0.25">
      <c r="A1" s="64" t="s">
        <v>692</v>
      </c>
      <c r="D1" s="79"/>
      <c r="F1" s="79"/>
      <c r="H1" s="79"/>
      <c r="J1" s="79"/>
      <c r="L1" s="88"/>
      <c r="N1" s="88"/>
    </row>
    <row r="2" spans="1:14" ht="72" x14ac:dyDescent="0.25">
      <c r="D2" s="80" t="s">
        <v>693</v>
      </c>
      <c r="F2" s="80" t="s">
        <v>694</v>
      </c>
      <c r="H2" s="80" t="s">
        <v>474</v>
      </c>
      <c r="J2" s="80" t="s">
        <v>475</v>
      </c>
      <c r="L2" s="89" t="s">
        <v>539</v>
      </c>
      <c r="N2" s="89" t="s">
        <v>695</v>
      </c>
    </row>
    <row r="3" spans="1:14" x14ac:dyDescent="0.25">
      <c r="A3" s="64" t="s">
        <v>421</v>
      </c>
    </row>
    <row r="4" spans="1:14" x14ac:dyDescent="0.25">
      <c r="B4" s="65" t="s">
        <v>445</v>
      </c>
    </row>
    <row r="5" spans="1:14" x14ac:dyDescent="0.25">
      <c r="C5" s="65" t="s">
        <v>696</v>
      </c>
      <c r="H5" s="81" t="s">
        <v>697</v>
      </c>
    </row>
    <row r="6" spans="1:14" x14ac:dyDescent="0.25">
      <c r="C6" s="65" t="s">
        <v>698</v>
      </c>
      <c r="L6" s="90" t="s">
        <v>697</v>
      </c>
      <c r="N6" s="90">
        <v>85000</v>
      </c>
    </row>
    <row r="7" spans="1:14" x14ac:dyDescent="0.25">
      <c r="C7" s="65" t="s">
        <v>699</v>
      </c>
      <c r="H7" s="81" t="s">
        <v>697</v>
      </c>
    </row>
    <row r="8" spans="1:14" x14ac:dyDescent="0.25">
      <c r="C8" s="65" t="s">
        <v>700</v>
      </c>
      <c r="F8" s="81">
        <v>45079</v>
      </c>
    </row>
    <row r="9" spans="1:14" x14ac:dyDescent="0.25">
      <c r="C9" s="65" t="s">
        <v>701</v>
      </c>
    </row>
    <row r="10" spans="1:14" x14ac:dyDescent="0.25">
      <c r="C10" s="65" t="s">
        <v>702</v>
      </c>
    </row>
    <row r="11" spans="1:14" x14ac:dyDescent="0.25">
      <c r="C11" s="65" t="s">
        <v>703</v>
      </c>
      <c r="L11" s="90">
        <v>8500</v>
      </c>
      <c r="N11" s="90">
        <v>8500</v>
      </c>
    </row>
    <row r="12" spans="1:14" x14ac:dyDescent="0.25">
      <c r="C12" s="65" t="s">
        <v>867</v>
      </c>
      <c r="N12" s="90">
        <v>12000</v>
      </c>
    </row>
    <row r="13" spans="1:14" x14ac:dyDescent="0.25">
      <c r="C13" s="65" t="s">
        <v>870</v>
      </c>
      <c r="N13" s="90">
        <v>4500</v>
      </c>
    </row>
    <row r="15" spans="1:14" x14ac:dyDescent="0.25">
      <c r="A15" s="64" t="s">
        <v>442</v>
      </c>
    </row>
    <row r="16" spans="1:14" x14ac:dyDescent="0.25">
      <c r="B16" s="65" t="s">
        <v>704</v>
      </c>
    </row>
    <row r="17" spans="2:14" x14ac:dyDescent="0.25">
      <c r="C17" s="65" t="s">
        <v>705</v>
      </c>
    </row>
    <row r="18" spans="2:14" x14ac:dyDescent="0.25">
      <c r="C18" s="65" t="s">
        <v>706</v>
      </c>
    </row>
    <row r="19" spans="2:14" x14ac:dyDescent="0.25">
      <c r="C19" s="65" t="s">
        <v>707</v>
      </c>
    </row>
    <row r="20" spans="2:14" x14ac:dyDescent="0.25">
      <c r="C20" s="65" t="s">
        <v>708</v>
      </c>
      <c r="J20" s="81">
        <v>467747</v>
      </c>
    </row>
    <row r="21" spans="2:14" x14ac:dyDescent="0.25">
      <c r="C21" s="65" t="s">
        <v>709</v>
      </c>
      <c r="H21" s="81">
        <v>269159</v>
      </c>
    </row>
    <row r="22" spans="2:14" x14ac:dyDescent="0.25">
      <c r="C22" s="65" t="s">
        <v>710</v>
      </c>
    </row>
    <row r="23" spans="2:14" x14ac:dyDescent="0.25">
      <c r="C23" s="65" t="s">
        <v>711</v>
      </c>
    </row>
    <row r="24" spans="2:14" x14ac:dyDescent="0.25">
      <c r="C24" s="65" t="s">
        <v>712</v>
      </c>
    </row>
    <row r="25" spans="2:14" x14ac:dyDescent="0.25">
      <c r="C25" s="65" t="s">
        <v>713</v>
      </c>
      <c r="N25" s="90">
        <v>15000</v>
      </c>
    </row>
    <row r="26" spans="2:14" x14ac:dyDescent="0.25">
      <c r="C26" s="65" t="s">
        <v>714</v>
      </c>
      <c r="N26" s="90">
        <v>45000</v>
      </c>
    </row>
    <row r="27" spans="2:14" x14ac:dyDescent="0.25">
      <c r="C27" s="65" t="s">
        <v>715</v>
      </c>
      <c r="H27" s="81">
        <v>5000</v>
      </c>
    </row>
    <row r="28" spans="2:14" x14ac:dyDescent="0.25">
      <c r="C28" s="65" t="s">
        <v>871</v>
      </c>
      <c r="L28" s="90">
        <v>10000</v>
      </c>
    </row>
    <row r="30" spans="2:14" x14ac:dyDescent="0.25">
      <c r="B30" s="65" t="s">
        <v>446</v>
      </c>
    </row>
    <row r="31" spans="2:14" x14ac:dyDescent="0.25">
      <c r="C31" s="65" t="s">
        <v>447</v>
      </c>
      <c r="F31" s="81">
        <v>17579</v>
      </c>
      <c r="H31" s="81">
        <v>10000</v>
      </c>
    </row>
    <row r="32" spans="2:14" x14ac:dyDescent="0.25">
      <c r="C32" s="65" t="s">
        <v>448</v>
      </c>
      <c r="F32" s="81">
        <v>3000</v>
      </c>
      <c r="H32" s="81">
        <v>1500</v>
      </c>
      <c r="J32" s="81">
        <v>3000</v>
      </c>
    </row>
    <row r="33" spans="1:14" x14ac:dyDescent="0.25">
      <c r="C33" s="65" t="s">
        <v>449</v>
      </c>
      <c r="F33" s="81">
        <v>12000</v>
      </c>
      <c r="H33" s="81">
        <v>8000</v>
      </c>
      <c r="J33" s="81">
        <v>10000</v>
      </c>
      <c r="L33" s="90">
        <v>4000</v>
      </c>
      <c r="N33" s="90">
        <v>16000</v>
      </c>
    </row>
    <row r="35" spans="1:14" x14ac:dyDescent="0.25">
      <c r="A35" s="64" t="s">
        <v>444</v>
      </c>
    </row>
    <row r="36" spans="1:14" x14ac:dyDescent="0.25">
      <c r="B36" s="65" t="s">
        <v>445</v>
      </c>
    </row>
    <row r="37" spans="1:14" x14ac:dyDescent="0.25">
      <c r="C37" s="65" t="s">
        <v>716</v>
      </c>
    </row>
    <row r="38" spans="1:14" x14ac:dyDescent="0.25">
      <c r="C38" s="65" t="s">
        <v>717</v>
      </c>
    </row>
    <row r="39" spans="1:14" x14ac:dyDescent="0.25">
      <c r="C39" s="65" t="s">
        <v>718</v>
      </c>
    </row>
    <row r="40" spans="1:14" x14ac:dyDescent="0.25">
      <c r="C40" s="65" t="s">
        <v>540</v>
      </c>
      <c r="L40" s="90">
        <v>0</v>
      </c>
      <c r="N40" s="90">
        <v>260000</v>
      </c>
    </row>
    <row r="41" spans="1:14" x14ac:dyDescent="0.25">
      <c r="C41" s="65" t="s">
        <v>541</v>
      </c>
      <c r="L41" s="90">
        <v>97000</v>
      </c>
    </row>
    <row r="42" spans="1:14" x14ac:dyDescent="0.25">
      <c r="C42" s="65" t="s">
        <v>719</v>
      </c>
    </row>
    <row r="43" spans="1:14" x14ac:dyDescent="0.25">
      <c r="C43" s="65" t="s">
        <v>542</v>
      </c>
      <c r="H43" s="81">
        <v>63490</v>
      </c>
    </row>
    <row r="44" spans="1:14" x14ac:dyDescent="0.25">
      <c r="C44" s="65" t="s">
        <v>720</v>
      </c>
    </row>
    <row r="45" spans="1:14" x14ac:dyDescent="0.25">
      <c r="C45" s="65" t="s">
        <v>721</v>
      </c>
    </row>
    <row r="46" spans="1:14" x14ac:dyDescent="0.25">
      <c r="C46" s="65" t="s">
        <v>722</v>
      </c>
    </row>
    <row r="47" spans="1:14" x14ac:dyDescent="0.25">
      <c r="C47" s="65" t="s">
        <v>723</v>
      </c>
      <c r="H47" s="81">
        <v>160000</v>
      </c>
    </row>
    <row r="48" spans="1:14" x14ac:dyDescent="0.25">
      <c r="C48" s="65" t="s">
        <v>724</v>
      </c>
      <c r="N48" s="90">
        <v>16955</v>
      </c>
    </row>
    <row r="49" spans="1:14" x14ac:dyDescent="0.25">
      <c r="C49" s="65" t="s">
        <v>725</v>
      </c>
      <c r="J49" s="81">
        <v>34948</v>
      </c>
    </row>
    <row r="51" spans="1:14" x14ac:dyDescent="0.25">
      <c r="B51" s="65" t="s">
        <v>451</v>
      </c>
    </row>
    <row r="52" spans="1:14" x14ac:dyDescent="0.25">
      <c r="C52" s="65" t="s">
        <v>726</v>
      </c>
    </row>
    <row r="54" spans="1:14" x14ac:dyDescent="0.25">
      <c r="B54" s="65" t="s">
        <v>452</v>
      </c>
    </row>
    <row r="55" spans="1:14" x14ac:dyDescent="0.25">
      <c r="C55" s="65" t="s">
        <v>727</v>
      </c>
      <c r="J55" s="81">
        <v>40000</v>
      </c>
    </row>
    <row r="56" spans="1:14" x14ac:dyDescent="0.25">
      <c r="C56" s="65" t="s">
        <v>728</v>
      </c>
    </row>
    <row r="57" spans="1:14" x14ac:dyDescent="0.25">
      <c r="C57" s="65" t="s">
        <v>729</v>
      </c>
    </row>
    <row r="59" spans="1:14" x14ac:dyDescent="0.25">
      <c r="A59" s="64" t="s">
        <v>730</v>
      </c>
    </row>
    <row r="60" spans="1:14" x14ac:dyDescent="0.25">
      <c r="B60" s="65" t="s">
        <v>450</v>
      </c>
    </row>
    <row r="61" spans="1:14" x14ac:dyDescent="0.25">
      <c r="C61" s="65" t="s">
        <v>458</v>
      </c>
      <c r="D61" s="81" t="s">
        <v>543</v>
      </c>
      <c r="F61" s="86" t="s">
        <v>543</v>
      </c>
      <c r="G61" s="315"/>
      <c r="H61" s="86" t="s">
        <v>543</v>
      </c>
      <c r="I61" s="315"/>
      <c r="J61" s="86" t="s">
        <v>543</v>
      </c>
      <c r="K61" s="315"/>
      <c r="L61" s="316" t="s">
        <v>543</v>
      </c>
      <c r="M61" s="315"/>
      <c r="N61" s="316" t="s">
        <v>543</v>
      </c>
    </row>
    <row r="62" spans="1:14" x14ac:dyDescent="0.25">
      <c r="F62" s="86"/>
      <c r="G62" s="315"/>
      <c r="H62" s="86"/>
      <c r="I62" s="315"/>
      <c r="J62" s="86"/>
      <c r="K62" s="315"/>
      <c r="L62" s="316"/>
      <c r="M62" s="315"/>
      <c r="N62" s="316"/>
    </row>
    <row r="63" spans="1:14" x14ac:dyDescent="0.25">
      <c r="B63" s="65" t="s">
        <v>484</v>
      </c>
      <c r="F63" s="86"/>
      <c r="G63" s="315"/>
      <c r="H63" s="86"/>
      <c r="I63" s="315"/>
      <c r="J63" s="86"/>
      <c r="K63" s="315"/>
      <c r="L63" s="316"/>
      <c r="M63" s="315"/>
      <c r="N63" s="316"/>
    </row>
    <row r="64" spans="1:14" x14ac:dyDescent="0.25">
      <c r="C64" s="65" t="s">
        <v>483</v>
      </c>
      <c r="F64" s="86"/>
      <c r="G64" s="315"/>
      <c r="H64" s="86"/>
      <c r="I64" s="315"/>
      <c r="J64" s="86"/>
      <c r="K64" s="315"/>
      <c r="L64" s="316"/>
      <c r="M64" s="315"/>
      <c r="N64" s="316"/>
    </row>
    <row r="65" spans="1:14" x14ac:dyDescent="0.25">
      <c r="C65" s="65" t="s">
        <v>485</v>
      </c>
      <c r="F65" s="86"/>
      <c r="G65" s="315"/>
      <c r="H65" s="86"/>
      <c r="I65" s="315"/>
      <c r="J65" s="86"/>
      <c r="K65" s="315"/>
      <c r="L65" s="316"/>
      <c r="M65" s="315"/>
      <c r="N65" s="316"/>
    </row>
    <row r="66" spans="1:14" x14ac:dyDescent="0.25">
      <c r="F66" s="86"/>
      <c r="G66" s="315"/>
      <c r="H66" s="86"/>
      <c r="I66" s="315"/>
      <c r="J66" s="86"/>
      <c r="K66" s="315"/>
      <c r="L66" s="316"/>
      <c r="M66" s="315"/>
      <c r="N66" s="316"/>
    </row>
    <row r="67" spans="1:14" x14ac:dyDescent="0.25">
      <c r="F67" s="86"/>
      <c r="G67" s="315"/>
      <c r="H67" s="86"/>
      <c r="I67" s="315"/>
      <c r="J67" s="86"/>
      <c r="K67" s="315"/>
      <c r="L67" s="316"/>
      <c r="M67" s="315"/>
      <c r="N67" s="316"/>
    </row>
    <row r="68" spans="1:14" x14ac:dyDescent="0.25">
      <c r="A68" s="64" t="s">
        <v>476</v>
      </c>
      <c r="F68" s="86"/>
      <c r="G68" s="315"/>
      <c r="H68" s="86"/>
      <c r="I68" s="315"/>
      <c r="J68" s="86"/>
      <c r="K68" s="315"/>
      <c r="L68" s="316"/>
      <c r="M68" s="315"/>
      <c r="N68" s="316"/>
    </row>
    <row r="69" spans="1:14" x14ac:dyDescent="0.25">
      <c r="B69" s="65" t="s">
        <v>731</v>
      </c>
      <c r="F69" s="86"/>
      <c r="G69" s="315"/>
      <c r="H69" s="86"/>
      <c r="I69" s="315"/>
      <c r="J69" s="86"/>
      <c r="K69" s="315"/>
      <c r="L69" s="316">
        <v>50900</v>
      </c>
      <c r="M69" s="315"/>
      <c r="N69" s="316">
        <v>30000</v>
      </c>
    </row>
    <row r="70" spans="1:14" x14ac:dyDescent="0.25">
      <c r="B70" s="65" t="s">
        <v>482</v>
      </c>
      <c r="F70" s="86"/>
      <c r="G70" s="315"/>
      <c r="H70" s="86"/>
      <c r="I70" s="315"/>
      <c r="J70" s="316">
        <v>15000</v>
      </c>
      <c r="K70" s="315"/>
      <c r="L70" s="316"/>
      <c r="M70" s="315"/>
      <c r="N70" s="316"/>
    </row>
    <row r="71" spans="1:14" x14ac:dyDescent="0.25">
      <c r="B71" s="65" t="s">
        <v>868</v>
      </c>
      <c r="F71" s="86"/>
      <c r="G71" s="315"/>
      <c r="H71" s="86"/>
      <c r="I71" s="315"/>
      <c r="J71" s="86"/>
      <c r="K71" s="315"/>
      <c r="L71" s="316"/>
      <c r="M71" s="315"/>
      <c r="N71" s="316">
        <v>25000</v>
      </c>
    </row>
    <row r="72" spans="1:14" x14ac:dyDescent="0.25">
      <c r="F72" s="86"/>
      <c r="G72" s="315"/>
      <c r="H72" s="86"/>
      <c r="I72" s="315"/>
      <c r="J72" s="86"/>
      <c r="K72" s="315"/>
      <c r="L72" s="316"/>
      <c r="M72" s="315"/>
      <c r="N72" s="316"/>
    </row>
  </sheetData>
  <pageMargins left="0.7" right="0.7" top="0.75" bottom="0.75" header="0.3" footer="0.3"/>
  <pageSetup scale="4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C880-2D1E-445F-BBEB-6F7AE3A2FB4F}">
  <dimension ref="A1:M49"/>
  <sheetViews>
    <sheetView view="pageBreakPreview" zoomScaleNormal="13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7" sqref="I7"/>
    </sheetView>
  </sheetViews>
  <sheetFormatPr defaultColWidth="9.140625" defaultRowHeight="12.75" x14ac:dyDescent="0.2"/>
  <cols>
    <col min="1" max="1" width="5.28515625" style="1" customWidth="1"/>
    <col min="2" max="2" width="38.140625" style="1" customWidth="1"/>
    <col min="3" max="4" width="10.28515625" style="1" bestFit="1" customWidth="1"/>
    <col min="5" max="5" width="18.140625" style="1" customWidth="1"/>
    <col min="6" max="6" width="14.7109375" style="1" customWidth="1"/>
    <col min="7" max="7" width="17.7109375" style="1" customWidth="1"/>
    <col min="8" max="8" width="11.28515625" style="1" customWidth="1"/>
    <col min="9" max="9" width="10.85546875" style="1" customWidth="1"/>
    <col min="10" max="10" width="11.7109375" style="1" customWidth="1"/>
    <col min="11" max="12" width="14.140625" style="1" hidden="1" customWidth="1"/>
    <col min="13" max="13" width="16.85546875" style="1" hidden="1" customWidth="1"/>
    <col min="14" max="16384" width="9.140625" style="1"/>
  </cols>
  <sheetData>
    <row r="1" spans="1:13" ht="40.5" customHeight="1" thickTop="1" thickBot="1" x14ac:dyDescent="0.35">
      <c r="C1" s="93" t="s">
        <v>413</v>
      </c>
      <c r="D1" s="93" t="s">
        <v>414</v>
      </c>
      <c r="E1" s="93" t="s">
        <v>415</v>
      </c>
      <c r="F1" s="93" t="s">
        <v>416</v>
      </c>
      <c r="G1" s="93" t="s">
        <v>465</v>
      </c>
      <c r="H1" s="93" t="s">
        <v>410</v>
      </c>
      <c r="I1" s="93" t="s">
        <v>480</v>
      </c>
      <c r="J1" s="93" t="s">
        <v>488</v>
      </c>
      <c r="K1" s="194" t="s">
        <v>643</v>
      </c>
      <c r="L1" s="194" t="s">
        <v>644</v>
      </c>
      <c r="M1" s="194" t="s">
        <v>645</v>
      </c>
    </row>
    <row r="2" spans="1:13" ht="29.25" customHeight="1" thickTop="1" x14ac:dyDescent="0.3">
      <c r="B2" s="94" t="s">
        <v>412</v>
      </c>
      <c r="C2" s="95"/>
      <c r="D2" s="96"/>
      <c r="E2" s="97"/>
      <c r="F2" s="98"/>
      <c r="G2" s="99"/>
      <c r="H2" s="100"/>
      <c r="I2" s="120"/>
      <c r="J2" s="193"/>
      <c r="K2" s="107"/>
      <c r="L2" s="195"/>
      <c r="M2" s="108"/>
    </row>
    <row r="3" spans="1:13" ht="15" x14ac:dyDescent="0.25">
      <c r="B3" s="101" t="s">
        <v>466</v>
      </c>
      <c r="C3" s="102"/>
      <c r="D3" s="103"/>
      <c r="E3" s="104"/>
      <c r="F3" s="105"/>
      <c r="G3" s="106"/>
      <c r="I3" s="119"/>
      <c r="J3" s="119"/>
      <c r="K3" s="107"/>
      <c r="L3" s="196"/>
      <c r="M3" s="108"/>
    </row>
    <row r="4" spans="1:13" x14ac:dyDescent="0.2">
      <c r="A4" s="109">
        <v>39</v>
      </c>
      <c r="B4" s="1" t="s">
        <v>418</v>
      </c>
      <c r="C4" s="102"/>
      <c r="D4" s="103"/>
      <c r="E4" s="104"/>
      <c r="F4" s="105"/>
      <c r="G4" s="106"/>
      <c r="H4" s="1">
        <v>0</v>
      </c>
      <c r="I4" s="119">
        <v>-940</v>
      </c>
      <c r="J4" s="108">
        <v>-393.9</v>
      </c>
      <c r="K4" s="107">
        <v>-415</v>
      </c>
      <c r="L4" s="196"/>
      <c r="M4" s="108"/>
    </row>
    <row r="5" spans="1:13" x14ac:dyDescent="0.2">
      <c r="A5" s="109">
        <v>46</v>
      </c>
      <c r="B5" s="1" t="s">
        <v>419</v>
      </c>
      <c r="C5" s="102">
        <v>0</v>
      </c>
      <c r="D5" s="103">
        <v>0</v>
      </c>
      <c r="E5" s="104">
        <v>0</v>
      </c>
      <c r="F5" s="105">
        <v>0</v>
      </c>
      <c r="G5" s="106">
        <v>2080</v>
      </c>
      <c r="H5" s="1">
        <v>13727.85</v>
      </c>
      <c r="I5" s="119">
        <v>25199</v>
      </c>
      <c r="J5" s="108">
        <v>15319.39</v>
      </c>
      <c r="K5" s="107"/>
      <c r="L5" s="196"/>
      <c r="M5" s="108"/>
    </row>
    <row r="6" spans="1:13" x14ac:dyDescent="0.2">
      <c r="A6" s="109">
        <v>47</v>
      </c>
      <c r="B6" s="33" t="s">
        <v>647</v>
      </c>
      <c r="C6" s="102"/>
      <c r="D6" s="103"/>
      <c r="E6" s="104"/>
      <c r="F6" s="105"/>
      <c r="G6" s="106"/>
      <c r="I6" s="119"/>
      <c r="J6" s="108">
        <v>25000</v>
      </c>
      <c r="K6" s="107"/>
      <c r="L6" s="196"/>
      <c r="M6" s="108"/>
    </row>
    <row r="7" spans="1:13" x14ac:dyDescent="0.2">
      <c r="A7" s="109">
        <v>50</v>
      </c>
      <c r="B7" s="1" t="s">
        <v>420</v>
      </c>
      <c r="C7" s="102">
        <v>272985</v>
      </c>
      <c r="D7" s="103">
        <v>287285</v>
      </c>
      <c r="E7" s="104">
        <v>307820</v>
      </c>
      <c r="F7" s="105">
        <v>307926</v>
      </c>
      <c r="G7" s="106">
        <v>385687.86</v>
      </c>
      <c r="H7" s="1">
        <v>266951.2</v>
      </c>
      <c r="I7" s="119">
        <v>293398</v>
      </c>
      <c r="J7" s="108">
        <v>363970.72</v>
      </c>
      <c r="K7" s="107"/>
      <c r="L7" s="196"/>
      <c r="M7" s="108"/>
    </row>
    <row r="8" spans="1:13" x14ac:dyDescent="0.2">
      <c r="A8" s="109">
        <v>51</v>
      </c>
      <c r="B8" s="1" t="s">
        <v>421</v>
      </c>
      <c r="C8" s="102">
        <v>6202</v>
      </c>
      <c r="D8" s="103">
        <v>8283</v>
      </c>
      <c r="E8" s="104">
        <v>8283</v>
      </c>
      <c r="F8" s="105">
        <v>18283</v>
      </c>
      <c r="G8" s="106">
        <v>40783</v>
      </c>
      <c r="H8" s="1">
        <v>40783</v>
      </c>
      <c r="I8" s="119">
        <v>40783</v>
      </c>
      <c r="J8" s="108">
        <v>40783</v>
      </c>
      <c r="K8" s="107"/>
      <c r="L8" s="196"/>
      <c r="M8" s="108"/>
    </row>
    <row r="9" spans="1:13" x14ac:dyDescent="0.2">
      <c r="A9" s="109">
        <v>52</v>
      </c>
      <c r="B9" s="1" t="s">
        <v>422</v>
      </c>
      <c r="C9" s="102">
        <v>32076</v>
      </c>
      <c r="D9" s="103">
        <v>40076</v>
      </c>
      <c r="E9" s="104">
        <v>38751</v>
      </c>
      <c r="F9" s="105">
        <v>32988.79</v>
      </c>
      <c r="G9" s="106">
        <v>44988.79</v>
      </c>
      <c r="H9" s="1">
        <v>55233.79</v>
      </c>
      <c r="I9" s="119">
        <v>57849</v>
      </c>
      <c r="J9" s="108">
        <v>69849.259999999995</v>
      </c>
      <c r="K9" s="107"/>
      <c r="L9" s="196"/>
      <c r="M9" s="108"/>
    </row>
    <row r="10" spans="1:13" x14ac:dyDescent="0.2">
      <c r="A10" s="109">
        <v>53</v>
      </c>
      <c r="B10" s="1" t="s">
        <v>440</v>
      </c>
      <c r="C10" s="102">
        <v>48591</v>
      </c>
      <c r="D10" s="103">
        <v>77091</v>
      </c>
      <c r="E10" s="104">
        <v>105591</v>
      </c>
      <c r="F10" s="105">
        <v>106838.33</v>
      </c>
      <c r="G10" s="106">
        <v>153233.32999999999</v>
      </c>
      <c r="H10" s="1">
        <v>162504.32999999999</v>
      </c>
      <c r="I10" s="119">
        <v>43247</v>
      </c>
      <c r="J10" s="108">
        <v>249897.13</v>
      </c>
      <c r="K10" s="107"/>
      <c r="L10" s="196"/>
      <c r="M10" s="108"/>
    </row>
    <row r="11" spans="1:13" x14ac:dyDescent="0.2">
      <c r="A11" s="109">
        <v>54</v>
      </c>
      <c r="B11" s="1" t="s">
        <v>423</v>
      </c>
      <c r="C11" s="102">
        <v>14734</v>
      </c>
      <c r="D11" s="103">
        <v>16812</v>
      </c>
      <c r="E11" s="104">
        <v>18865</v>
      </c>
      <c r="F11" s="105">
        <v>20255.689999999999</v>
      </c>
      <c r="G11" s="106">
        <v>22661.39</v>
      </c>
      <c r="H11" s="1">
        <v>25285.09</v>
      </c>
      <c r="I11" s="119">
        <v>33357</v>
      </c>
      <c r="J11" s="108">
        <v>34012.78</v>
      </c>
      <c r="K11" s="107"/>
      <c r="L11" s="196"/>
      <c r="M11" s="108"/>
    </row>
    <row r="12" spans="1:13" x14ac:dyDescent="0.2">
      <c r="A12" s="109">
        <v>55</v>
      </c>
      <c r="B12" s="1" t="s">
        <v>441</v>
      </c>
      <c r="C12" s="102">
        <v>150163</v>
      </c>
      <c r="D12" s="103">
        <v>177863</v>
      </c>
      <c r="E12" s="104">
        <v>180563</v>
      </c>
      <c r="F12" s="105">
        <v>123701</v>
      </c>
      <c r="G12" s="106">
        <v>93701.04</v>
      </c>
      <c r="H12" s="1">
        <v>118701.04</v>
      </c>
      <c r="I12" s="119">
        <v>0.04</v>
      </c>
      <c r="J12" s="108">
        <v>186802.14</v>
      </c>
      <c r="K12" s="107"/>
      <c r="L12" s="196"/>
      <c r="M12" s="108"/>
    </row>
    <row r="13" spans="1:13" x14ac:dyDescent="0.2">
      <c r="A13" s="109">
        <v>56</v>
      </c>
      <c r="B13" s="1" t="s">
        <v>424</v>
      </c>
      <c r="C13" s="102">
        <v>282099</v>
      </c>
      <c r="D13" s="103">
        <v>244444</v>
      </c>
      <c r="E13" s="104">
        <v>270926</v>
      </c>
      <c r="F13" s="105">
        <v>307926.34999999998</v>
      </c>
      <c r="G13" s="106">
        <v>344926.35</v>
      </c>
      <c r="H13" s="1">
        <v>381926.15</v>
      </c>
      <c r="I13" s="119">
        <v>418926</v>
      </c>
      <c r="J13" s="108">
        <v>473926.35</v>
      </c>
      <c r="K13" s="107"/>
      <c r="L13" s="196"/>
      <c r="M13" s="108"/>
    </row>
    <row r="14" spans="1:13" x14ac:dyDescent="0.2">
      <c r="A14" s="109">
        <v>59</v>
      </c>
      <c r="B14" s="1" t="s">
        <v>426</v>
      </c>
      <c r="C14" s="102">
        <v>0</v>
      </c>
      <c r="D14" s="103">
        <v>0</v>
      </c>
      <c r="E14" s="104">
        <v>5000</v>
      </c>
      <c r="F14" s="105">
        <v>6504</v>
      </c>
      <c r="G14" s="106">
        <v>9015.6</v>
      </c>
      <c r="H14" s="1">
        <v>14015.6</v>
      </c>
      <c r="I14" s="119">
        <v>29016</v>
      </c>
      <c r="J14" s="108">
        <v>21108</v>
      </c>
      <c r="K14" s="107"/>
      <c r="L14" s="196"/>
      <c r="M14" s="108"/>
    </row>
    <row r="15" spans="1:13" x14ac:dyDescent="0.2">
      <c r="A15" s="109">
        <v>60</v>
      </c>
      <c r="B15" s="1" t="s">
        <v>558</v>
      </c>
      <c r="C15" s="102">
        <v>0</v>
      </c>
      <c r="D15" s="103">
        <v>0</v>
      </c>
      <c r="E15" s="104">
        <v>0</v>
      </c>
      <c r="F15" s="105">
        <v>0</v>
      </c>
      <c r="G15" s="106">
        <v>10000</v>
      </c>
      <c r="H15" s="1">
        <v>40000</v>
      </c>
      <c r="I15" s="119">
        <v>65000</v>
      </c>
      <c r="J15" s="108">
        <v>65000</v>
      </c>
      <c r="K15" s="107"/>
      <c r="L15" s="196"/>
      <c r="M15" s="108"/>
    </row>
    <row r="16" spans="1:13" x14ac:dyDescent="0.2">
      <c r="A16" s="109">
        <v>63</v>
      </c>
      <c r="B16" s="1" t="s">
        <v>429</v>
      </c>
      <c r="C16" s="102">
        <v>7069</v>
      </c>
      <c r="D16" s="103">
        <v>7069</v>
      </c>
      <c r="E16" s="104">
        <v>7069</v>
      </c>
      <c r="F16" s="105">
        <v>7069.21</v>
      </c>
      <c r="G16" s="106">
        <f>SUM(F16:F16)</f>
        <v>7069.21</v>
      </c>
      <c r="H16" s="1">
        <v>7069.21</v>
      </c>
      <c r="I16" s="119">
        <v>7069</v>
      </c>
      <c r="J16" s="108">
        <v>7069.21</v>
      </c>
      <c r="K16" s="107"/>
      <c r="L16" s="196"/>
      <c r="M16" s="108"/>
    </row>
    <row r="17" spans="1:13" x14ac:dyDescent="0.2">
      <c r="A17" s="109"/>
      <c r="C17" s="102"/>
      <c r="D17" s="103"/>
      <c r="E17" s="104"/>
      <c r="F17" s="105"/>
      <c r="G17" s="106"/>
      <c r="I17" s="119"/>
      <c r="J17" s="108"/>
      <c r="K17" s="107"/>
      <c r="L17" s="196"/>
      <c r="M17" s="108"/>
    </row>
    <row r="18" spans="1:13" x14ac:dyDescent="0.2">
      <c r="C18" s="102"/>
      <c r="D18" s="103"/>
      <c r="E18" s="104"/>
      <c r="F18" s="105"/>
      <c r="G18" s="106"/>
      <c r="I18" s="119"/>
      <c r="J18" s="108"/>
      <c r="K18" s="107"/>
      <c r="L18" s="196"/>
      <c r="M18" s="108"/>
    </row>
    <row r="19" spans="1:13" ht="15" x14ac:dyDescent="0.25">
      <c r="B19" s="101" t="s">
        <v>467</v>
      </c>
      <c r="C19" s="102"/>
      <c r="D19" s="103"/>
      <c r="E19" s="104"/>
      <c r="F19" s="105"/>
      <c r="G19" s="106"/>
      <c r="I19" s="119"/>
      <c r="J19" s="108"/>
      <c r="K19" s="107"/>
      <c r="L19" s="196"/>
      <c r="M19" s="108"/>
    </row>
    <row r="20" spans="1:13" x14ac:dyDescent="0.2">
      <c r="A20" s="91">
        <v>13</v>
      </c>
      <c r="B20" s="1" t="s">
        <v>417</v>
      </c>
      <c r="C20" s="102">
        <v>0</v>
      </c>
      <c r="D20" s="103">
        <v>0</v>
      </c>
      <c r="E20" s="104">
        <v>0</v>
      </c>
      <c r="F20" s="105">
        <v>0</v>
      </c>
      <c r="G20" s="106">
        <v>618606</v>
      </c>
      <c r="H20" s="1">
        <v>1229559.1299999999</v>
      </c>
      <c r="I20" s="119">
        <v>1040641</v>
      </c>
      <c r="J20" s="108">
        <v>0</v>
      </c>
      <c r="K20" s="107"/>
      <c r="L20" s="196"/>
      <c r="M20" s="108"/>
    </row>
    <row r="21" spans="1:13" x14ac:dyDescent="0.2">
      <c r="A21" s="91">
        <v>16</v>
      </c>
      <c r="B21" s="33" t="s">
        <v>568</v>
      </c>
      <c r="C21" s="102"/>
      <c r="D21" s="103"/>
      <c r="E21" s="104"/>
      <c r="F21" s="105"/>
      <c r="G21" s="106"/>
      <c r="I21" s="119"/>
      <c r="J21" s="108">
        <v>795810.5</v>
      </c>
      <c r="K21" s="107"/>
      <c r="L21" s="196"/>
      <c r="M21" s="108"/>
    </row>
    <row r="22" spans="1:13" x14ac:dyDescent="0.2">
      <c r="A22" s="91">
        <v>17</v>
      </c>
      <c r="B22" s="33" t="s">
        <v>646</v>
      </c>
      <c r="C22" s="102"/>
      <c r="D22" s="103"/>
      <c r="E22" s="104"/>
      <c r="F22" s="105"/>
      <c r="G22" s="106"/>
      <c r="I22" s="119"/>
      <c r="J22" s="108">
        <v>3138.85</v>
      </c>
      <c r="K22" s="107"/>
      <c r="L22" s="196"/>
      <c r="M22" s="108"/>
    </row>
    <row r="23" spans="1:13" x14ac:dyDescent="0.2">
      <c r="A23" s="91">
        <v>48</v>
      </c>
      <c r="B23" s="33" t="s">
        <v>569</v>
      </c>
      <c r="C23" s="102"/>
      <c r="D23" s="103"/>
      <c r="E23" s="104"/>
      <c r="F23" s="105"/>
      <c r="G23" s="106"/>
      <c r="I23" s="119">
        <v>2000</v>
      </c>
      <c r="J23" s="108">
        <v>1423.68</v>
      </c>
      <c r="K23" s="107"/>
      <c r="L23" s="196"/>
      <c r="M23" s="108"/>
    </row>
    <row r="24" spans="1:13" x14ac:dyDescent="0.2">
      <c r="A24" s="91">
        <v>58</v>
      </c>
      <c r="B24" s="1" t="s">
        <v>425</v>
      </c>
      <c r="C24" s="102">
        <v>2548</v>
      </c>
      <c r="D24" s="103">
        <v>2548</v>
      </c>
      <c r="E24" s="104">
        <v>2548</v>
      </c>
      <c r="F24" s="105">
        <v>1387</v>
      </c>
      <c r="G24" s="106">
        <v>1356.68</v>
      </c>
      <c r="H24" s="1">
        <v>1356.68</v>
      </c>
      <c r="I24" s="119">
        <v>1357</v>
      </c>
      <c r="J24" s="108">
        <v>1356.68</v>
      </c>
      <c r="K24" s="107"/>
      <c r="L24" s="196"/>
      <c r="M24" s="108"/>
    </row>
    <row r="25" spans="1:13" x14ac:dyDescent="0.2">
      <c r="A25" s="91">
        <v>61</v>
      </c>
      <c r="B25" s="1" t="s">
        <v>427</v>
      </c>
      <c r="C25" s="102">
        <v>129231</v>
      </c>
      <c r="D25" s="103">
        <v>135231</v>
      </c>
      <c r="E25" s="104">
        <v>141231</v>
      </c>
      <c r="F25" s="105">
        <v>155860.38</v>
      </c>
      <c r="G25" s="106">
        <v>82738.179999999993</v>
      </c>
      <c r="H25" s="1">
        <v>30531.91</v>
      </c>
      <c r="I25" s="119">
        <v>44981.91</v>
      </c>
      <c r="J25" s="108">
        <v>59973.63</v>
      </c>
      <c r="K25" s="107"/>
      <c r="L25" s="196"/>
      <c r="M25" s="108"/>
    </row>
    <row r="26" spans="1:13" x14ac:dyDescent="0.2">
      <c r="A26" s="91">
        <v>62</v>
      </c>
      <c r="B26" s="1" t="s">
        <v>428</v>
      </c>
      <c r="C26" s="102">
        <v>74966</v>
      </c>
      <c r="D26" s="103">
        <v>77977</v>
      </c>
      <c r="E26" s="104">
        <v>119255</v>
      </c>
      <c r="F26" s="105">
        <v>161095.09</v>
      </c>
      <c r="G26" s="106">
        <v>184023.09</v>
      </c>
      <c r="H26" s="1">
        <v>196801.19</v>
      </c>
      <c r="I26" s="119">
        <v>215328</v>
      </c>
      <c r="J26" s="108">
        <v>238035.64</v>
      </c>
      <c r="K26" s="107"/>
      <c r="L26" s="196"/>
      <c r="M26" s="108"/>
    </row>
    <row r="27" spans="1:13" x14ac:dyDescent="0.2">
      <c r="A27" s="91">
        <v>64</v>
      </c>
      <c r="B27" s="1" t="s">
        <v>468</v>
      </c>
      <c r="C27" s="102">
        <v>9488</v>
      </c>
      <c r="D27" s="103">
        <v>7802</v>
      </c>
      <c r="E27" s="104">
        <v>7802</v>
      </c>
      <c r="F27" s="105">
        <v>7802.28</v>
      </c>
      <c r="G27" s="106">
        <v>5405.28</v>
      </c>
      <c r="H27" s="1">
        <v>5405.28</v>
      </c>
      <c r="I27" s="119">
        <v>1543</v>
      </c>
      <c r="J27" s="108">
        <v>1542.88</v>
      </c>
      <c r="K27" s="107"/>
      <c r="L27" s="196"/>
      <c r="M27" s="108"/>
    </row>
    <row r="28" spans="1:13" x14ac:dyDescent="0.2">
      <c r="A28" s="91">
        <v>65</v>
      </c>
      <c r="B28" s="1" t="s">
        <v>433</v>
      </c>
      <c r="C28" s="102">
        <v>2151</v>
      </c>
      <c r="D28" s="103">
        <v>1151</v>
      </c>
      <c r="E28" s="104">
        <v>1151</v>
      </c>
      <c r="F28" s="105">
        <v>1201.1500000000001</v>
      </c>
      <c r="G28" s="106">
        <f>SUM(F28:F28)</f>
        <v>1201.1500000000001</v>
      </c>
      <c r="H28" s="1">
        <v>1201.1500000000001</v>
      </c>
      <c r="I28" s="119">
        <v>1201</v>
      </c>
      <c r="J28" s="108">
        <v>1243.6500000000001</v>
      </c>
      <c r="K28" s="107"/>
      <c r="L28" s="196"/>
      <c r="M28" s="108"/>
    </row>
    <row r="29" spans="1:13" x14ac:dyDescent="0.2">
      <c r="A29" s="91">
        <v>66</v>
      </c>
      <c r="B29" s="1" t="s">
        <v>434</v>
      </c>
      <c r="C29" s="102">
        <v>10369</v>
      </c>
      <c r="D29" s="103">
        <v>12356</v>
      </c>
      <c r="E29" s="104">
        <v>14046</v>
      </c>
      <c r="F29" s="105">
        <v>14125.3</v>
      </c>
      <c r="G29" s="106">
        <v>14240</v>
      </c>
      <c r="H29" s="1">
        <v>12362.53</v>
      </c>
      <c r="I29" s="119">
        <v>17342</v>
      </c>
      <c r="J29" s="108">
        <v>12390.6</v>
      </c>
      <c r="K29" s="107"/>
      <c r="L29" s="199"/>
      <c r="M29" s="108"/>
    </row>
    <row r="30" spans="1:13" x14ac:dyDescent="0.2">
      <c r="A30" s="91">
        <v>67</v>
      </c>
      <c r="B30" s="1" t="s">
        <v>430</v>
      </c>
      <c r="C30" s="102">
        <v>237</v>
      </c>
      <c r="D30" s="103">
        <v>237</v>
      </c>
      <c r="E30" s="104">
        <v>237</v>
      </c>
      <c r="F30" s="105">
        <v>237.34</v>
      </c>
      <c r="G30" s="106">
        <f>SUM(F30:F30)</f>
        <v>237.34</v>
      </c>
      <c r="H30" s="1">
        <v>237</v>
      </c>
      <c r="I30" s="119">
        <v>237.34</v>
      </c>
      <c r="J30" s="108">
        <v>237.34</v>
      </c>
      <c r="K30" s="107"/>
      <c r="L30" s="196"/>
      <c r="M30" s="108"/>
    </row>
    <row r="31" spans="1:13" x14ac:dyDescent="0.2">
      <c r="A31" s="91">
        <v>69</v>
      </c>
      <c r="B31" s="1" t="s">
        <v>431</v>
      </c>
      <c r="C31" s="102">
        <v>24696</v>
      </c>
      <c r="D31" s="103">
        <v>25198</v>
      </c>
      <c r="E31" s="104">
        <v>25551</v>
      </c>
      <c r="F31" s="105">
        <v>35527.68</v>
      </c>
      <c r="G31" s="106">
        <v>33668.370000000003</v>
      </c>
      <c r="H31" s="1">
        <v>29500.62</v>
      </c>
      <c r="I31" s="119">
        <v>29500</v>
      </c>
      <c r="J31" s="108">
        <v>29500.62</v>
      </c>
      <c r="K31" s="107"/>
      <c r="L31" s="196"/>
      <c r="M31" s="108"/>
    </row>
    <row r="32" spans="1:13" ht="13.5" thickBot="1" x14ac:dyDescent="0.25">
      <c r="C32" s="102"/>
      <c r="D32" s="103"/>
      <c r="E32" s="104"/>
      <c r="F32" s="105"/>
      <c r="G32" s="106"/>
      <c r="I32" s="119"/>
      <c r="J32" s="108"/>
      <c r="K32" s="107"/>
      <c r="L32" s="196"/>
      <c r="M32" s="108"/>
    </row>
    <row r="33" spans="1:13" ht="15.75" thickBot="1" x14ac:dyDescent="0.3">
      <c r="B33" s="101" t="s">
        <v>469</v>
      </c>
      <c r="C33" s="110">
        <f t="shared" ref="C33:M33" si="0">SUM(C3:C32)</f>
        <v>1067605</v>
      </c>
      <c r="D33" s="110">
        <f t="shared" si="0"/>
        <v>1121423</v>
      </c>
      <c r="E33" s="110">
        <f t="shared" si="0"/>
        <v>1254689</v>
      </c>
      <c r="F33" s="110">
        <f t="shared" si="0"/>
        <v>1308728.5900000001</v>
      </c>
      <c r="G33" s="110">
        <f t="shared" si="0"/>
        <v>2055622.6600000001</v>
      </c>
      <c r="H33" s="111">
        <f t="shared" si="0"/>
        <v>2633152.7499999995</v>
      </c>
      <c r="I33" s="112">
        <f t="shared" si="0"/>
        <v>2367035.29</v>
      </c>
      <c r="J33" s="129">
        <f>SUM(J3:J32)</f>
        <v>2696998.1500000004</v>
      </c>
      <c r="K33" s="112">
        <f t="shared" si="0"/>
        <v>-415</v>
      </c>
      <c r="L33" s="198">
        <f t="shared" si="0"/>
        <v>0</v>
      </c>
      <c r="M33" s="197">
        <f t="shared" si="0"/>
        <v>0</v>
      </c>
    </row>
    <row r="34" spans="1:13" ht="15.75" thickTop="1" x14ac:dyDescent="0.25">
      <c r="B34" s="101"/>
      <c r="C34" s="102"/>
      <c r="D34" s="113"/>
      <c r="F34" s="114"/>
      <c r="G34" s="114"/>
      <c r="I34" s="119"/>
      <c r="J34" s="108"/>
      <c r="K34" s="107"/>
      <c r="L34" s="196"/>
      <c r="M34" s="108"/>
    </row>
    <row r="35" spans="1:13" ht="15" x14ac:dyDescent="0.25">
      <c r="A35" s="101" t="s">
        <v>470</v>
      </c>
      <c r="C35" s="102"/>
      <c r="D35" s="103"/>
      <c r="E35" s="104"/>
      <c r="F35" s="105"/>
      <c r="G35" s="106"/>
      <c r="I35" s="119"/>
      <c r="J35" s="108"/>
      <c r="K35" s="107"/>
      <c r="L35" s="196"/>
      <c r="M35" s="108"/>
    </row>
    <row r="36" spans="1:13" x14ac:dyDescent="0.2">
      <c r="A36" s="1">
        <v>25</v>
      </c>
      <c r="B36" s="1" t="s">
        <v>544</v>
      </c>
      <c r="C36" s="102">
        <v>342884</v>
      </c>
      <c r="D36" s="103">
        <v>459415</v>
      </c>
      <c r="E36" s="104">
        <v>520036</v>
      </c>
      <c r="F36" s="105">
        <v>582217</v>
      </c>
      <c r="G36" s="106">
        <v>430780.63</v>
      </c>
      <c r="H36" s="1">
        <v>255419.34</v>
      </c>
      <c r="I36" s="119">
        <v>266180</v>
      </c>
      <c r="J36" s="108">
        <v>344824.63</v>
      </c>
      <c r="K36" s="107"/>
      <c r="L36" s="196"/>
      <c r="M36" s="108"/>
    </row>
    <row r="37" spans="1:13" x14ac:dyDescent="0.2">
      <c r="A37" s="1">
        <v>30</v>
      </c>
      <c r="B37" s="1" t="s">
        <v>559</v>
      </c>
      <c r="C37" s="102"/>
      <c r="D37" s="103"/>
      <c r="E37" s="104"/>
      <c r="F37" s="105"/>
      <c r="G37" s="106"/>
      <c r="I37" s="119"/>
      <c r="J37" s="108"/>
      <c r="K37" s="107"/>
      <c r="L37" s="196"/>
      <c r="M37" s="108"/>
    </row>
    <row r="38" spans="1:13" x14ac:dyDescent="0.2">
      <c r="B38" s="1" t="s">
        <v>560</v>
      </c>
      <c r="C38" s="102">
        <v>0</v>
      </c>
      <c r="D38" s="103">
        <v>0</v>
      </c>
      <c r="E38" s="104">
        <v>0</v>
      </c>
      <c r="F38" s="105">
        <v>0</v>
      </c>
      <c r="G38" s="106">
        <v>0</v>
      </c>
      <c r="H38" s="1">
        <v>6364.41</v>
      </c>
      <c r="I38" s="119">
        <v>3558</v>
      </c>
      <c r="J38" s="108">
        <v>18041.46</v>
      </c>
      <c r="K38" s="107"/>
      <c r="L38" s="199"/>
      <c r="M38" s="108"/>
    </row>
    <row r="39" spans="1:13" x14ac:dyDescent="0.2">
      <c r="B39" s="1" t="s">
        <v>561</v>
      </c>
      <c r="C39" s="102">
        <v>25253.68</v>
      </c>
      <c r="D39" s="103">
        <v>24421.61</v>
      </c>
      <c r="E39" s="104">
        <v>24659.759999999998</v>
      </c>
      <c r="F39" s="105">
        <v>24898.5</v>
      </c>
      <c r="G39" s="106">
        <v>24945.17</v>
      </c>
      <c r="H39" s="1">
        <v>24992.83</v>
      </c>
      <c r="I39" s="119">
        <v>25450</v>
      </c>
      <c r="J39" s="108">
        <v>25717.59</v>
      </c>
      <c r="K39" s="107"/>
      <c r="L39" s="196"/>
      <c r="M39" s="108"/>
    </row>
    <row r="40" spans="1:13" x14ac:dyDescent="0.2">
      <c r="B40" s="1" t="s">
        <v>562</v>
      </c>
      <c r="C40" s="102">
        <v>3101.11</v>
      </c>
      <c r="D40" s="103">
        <v>3122.57</v>
      </c>
      <c r="E40" s="104">
        <v>3153.1</v>
      </c>
      <c r="F40" s="105">
        <v>3183.62</v>
      </c>
      <c r="G40" s="106">
        <v>3189.58</v>
      </c>
      <c r="H40" s="1">
        <v>3195.67</v>
      </c>
      <c r="I40" s="119">
        <v>3255</v>
      </c>
      <c r="J40" s="108">
        <v>3288.32</v>
      </c>
      <c r="K40" s="107"/>
      <c r="L40" s="196"/>
      <c r="M40" s="108"/>
    </row>
    <row r="41" spans="1:13" x14ac:dyDescent="0.2">
      <c r="B41" s="1" t="s">
        <v>563</v>
      </c>
      <c r="C41" s="102">
        <v>3354.46</v>
      </c>
      <c r="D41" s="103">
        <v>3377.73</v>
      </c>
      <c r="E41" s="104">
        <v>3410.64</v>
      </c>
      <c r="F41" s="105">
        <v>3443.67</v>
      </c>
      <c r="G41" s="106">
        <v>3450.11</v>
      </c>
      <c r="H41" s="1">
        <v>3456.69</v>
      </c>
      <c r="I41" s="119">
        <v>3519</v>
      </c>
      <c r="J41" s="108">
        <v>3556.94</v>
      </c>
      <c r="K41" s="107"/>
      <c r="L41" s="196"/>
      <c r="M41" s="108"/>
    </row>
    <row r="42" spans="1:13" ht="11.25" customHeight="1" x14ac:dyDescent="0.2">
      <c r="B42" s="1" t="s">
        <v>564</v>
      </c>
      <c r="C42" s="102">
        <v>0</v>
      </c>
      <c r="D42" s="103">
        <v>0</v>
      </c>
      <c r="E42" s="104">
        <v>500</v>
      </c>
      <c r="F42" s="105">
        <v>501.82</v>
      </c>
      <c r="G42" s="106">
        <v>503.94</v>
      </c>
      <c r="H42" s="1">
        <v>1508.83</v>
      </c>
      <c r="I42" s="119">
        <v>394.69</v>
      </c>
      <c r="J42" s="108">
        <v>404.18</v>
      </c>
      <c r="K42" s="237"/>
      <c r="L42" s="199"/>
      <c r="M42" s="108"/>
    </row>
    <row r="43" spans="1:13" x14ac:dyDescent="0.2">
      <c r="B43" s="1" t="s">
        <v>565</v>
      </c>
      <c r="C43" s="102">
        <v>0</v>
      </c>
      <c r="D43" s="103">
        <v>0</v>
      </c>
      <c r="E43" s="104">
        <v>0</v>
      </c>
      <c r="F43" s="105">
        <v>0</v>
      </c>
      <c r="G43" s="106">
        <v>0</v>
      </c>
      <c r="H43" s="1">
        <v>4350.47</v>
      </c>
      <c r="I43" s="119">
        <v>6626</v>
      </c>
      <c r="J43" s="108">
        <v>10435.73</v>
      </c>
      <c r="K43" s="107"/>
      <c r="L43" s="196"/>
      <c r="M43" s="108"/>
    </row>
    <row r="44" spans="1:13" x14ac:dyDescent="0.2">
      <c r="A44" s="1">
        <v>44</v>
      </c>
      <c r="B44" s="33" t="s">
        <v>566</v>
      </c>
      <c r="C44" s="102">
        <v>3119</v>
      </c>
      <c r="D44" s="103">
        <v>2770</v>
      </c>
      <c r="E44" s="104">
        <v>2215</v>
      </c>
      <c r="F44" s="105">
        <v>2796.74</v>
      </c>
      <c r="G44" s="106">
        <v>2285.8200000000002</v>
      </c>
      <c r="H44" s="1">
        <v>3285.44</v>
      </c>
      <c r="I44" s="119">
        <v>3054</v>
      </c>
      <c r="J44" s="108">
        <v>0</v>
      </c>
      <c r="K44" s="107">
        <v>0</v>
      </c>
      <c r="L44" s="196"/>
      <c r="M44" s="108"/>
    </row>
    <row r="45" spans="1:13" x14ac:dyDescent="0.2">
      <c r="A45" s="1">
        <v>45</v>
      </c>
      <c r="B45" s="1" t="s">
        <v>432</v>
      </c>
      <c r="C45" s="102">
        <v>7357</v>
      </c>
      <c r="D45" s="103">
        <v>10680</v>
      </c>
      <c r="E45" s="104">
        <v>12103</v>
      </c>
      <c r="F45" s="105">
        <v>11014.71</v>
      </c>
      <c r="G45" s="106">
        <v>10583.36</v>
      </c>
      <c r="H45" s="1">
        <v>10739.96</v>
      </c>
      <c r="I45" s="119">
        <v>6061</v>
      </c>
      <c r="J45" s="108">
        <v>8437.7099999999991</v>
      </c>
      <c r="K45" s="107"/>
      <c r="L45" s="196"/>
      <c r="M45" s="108"/>
    </row>
    <row r="46" spans="1:13" x14ac:dyDescent="0.2">
      <c r="A46" s="1">
        <v>68</v>
      </c>
      <c r="B46" s="1" t="s">
        <v>435</v>
      </c>
      <c r="C46" s="102">
        <v>309</v>
      </c>
      <c r="D46" s="103">
        <v>310</v>
      </c>
      <c r="E46" s="104">
        <v>330</v>
      </c>
      <c r="F46" s="105">
        <v>330</v>
      </c>
      <c r="G46" s="106">
        <v>330.27</v>
      </c>
      <c r="H46" s="1">
        <v>349.34</v>
      </c>
      <c r="I46" s="119">
        <v>350.61</v>
      </c>
      <c r="J46" s="108">
        <v>353.16</v>
      </c>
      <c r="K46" s="237"/>
      <c r="L46" s="199"/>
      <c r="M46" s="108"/>
    </row>
    <row r="47" spans="1:13" ht="13.5" thickBot="1" x14ac:dyDescent="0.25">
      <c r="A47" s="1">
        <v>70</v>
      </c>
      <c r="B47" s="1" t="s">
        <v>436</v>
      </c>
      <c r="C47" s="102">
        <v>147664</v>
      </c>
      <c r="D47" s="103">
        <v>153803</v>
      </c>
      <c r="E47" s="104">
        <v>160847</v>
      </c>
      <c r="F47" s="105">
        <v>166264</v>
      </c>
      <c r="G47" s="106">
        <v>164351</v>
      </c>
      <c r="H47" s="1">
        <v>171515.46</v>
      </c>
      <c r="I47" s="119">
        <v>151870.17000000001</v>
      </c>
      <c r="J47" s="108">
        <v>159058.97</v>
      </c>
      <c r="K47" s="107"/>
      <c r="L47" s="199"/>
      <c r="M47" s="108"/>
    </row>
    <row r="48" spans="1:13" ht="15.75" thickBot="1" x14ac:dyDescent="0.3">
      <c r="B48" s="101" t="s">
        <v>471</v>
      </c>
      <c r="C48" s="112">
        <f t="shared" ref="C48:M48" si="1">SUM(C36:C47)</f>
        <v>533042.25</v>
      </c>
      <c r="D48" s="115">
        <f t="shared" si="1"/>
        <v>657899.90999999992</v>
      </c>
      <c r="E48" s="116">
        <f t="shared" si="1"/>
        <v>727254.5</v>
      </c>
      <c r="F48" s="117">
        <f t="shared" si="1"/>
        <v>794650.05999999994</v>
      </c>
      <c r="G48" s="110">
        <f t="shared" si="1"/>
        <v>640419.88</v>
      </c>
      <c r="H48" s="118">
        <f t="shared" si="1"/>
        <v>485178.44000000006</v>
      </c>
      <c r="I48" s="129">
        <f t="shared" si="1"/>
        <v>470318.47</v>
      </c>
      <c r="J48" s="129">
        <f>SUM(J36:J47)</f>
        <v>574118.69000000006</v>
      </c>
      <c r="K48" s="112">
        <f t="shared" si="1"/>
        <v>0</v>
      </c>
      <c r="L48" s="198">
        <f t="shared" si="1"/>
        <v>0</v>
      </c>
      <c r="M48" s="197">
        <f t="shared" si="1"/>
        <v>0</v>
      </c>
    </row>
    <row r="49" s="1" customFormat="1" ht="13.5" thickTop="1" x14ac:dyDescent="0.2"/>
  </sheetData>
  <phoneticPr fontId="29" type="noConversion"/>
  <pageMargins left="0.7" right="0.7" top="0.75" bottom="0.75" header="0.3" footer="0.3"/>
  <pageSetup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6506-9BE7-4FE0-B89D-874DE1F30B5D}">
  <dimension ref="A1:G5"/>
  <sheetViews>
    <sheetView view="pageBreakPreview" zoomScale="60" zoomScaleNormal="100" workbookViewId="0">
      <selection activeCell="I19" sqref="I19"/>
    </sheetView>
  </sheetViews>
  <sheetFormatPr defaultRowHeight="12.75" x14ac:dyDescent="0.2"/>
  <sheetData>
    <row r="1" spans="1:7" ht="15" x14ac:dyDescent="0.25">
      <c r="A1" s="63" t="s">
        <v>534</v>
      </c>
    </row>
    <row r="2" spans="1:7" x14ac:dyDescent="0.2">
      <c r="A2" s="87">
        <v>0.48</v>
      </c>
      <c r="B2" t="s">
        <v>531</v>
      </c>
      <c r="E2" s="1">
        <v>37705</v>
      </c>
      <c r="F2">
        <v>0.48</v>
      </c>
      <c r="G2" s="85">
        <f>SUM(E2*F2)</f>
        <v>18098.399999999998</v>
      </c>
    </row>
    <row r="3" spans="1:7" x14ac:dyDescent="0.2">
      <c r="A3" s="87">
        <v>0.48</v>
      </c>
      <c r="B3" t="s">
        <v>532</v>
      </c>
      <c r="E3" s="1">
        <v>0</v>
      </c>
      <c r="F3">
        <v>0.48</v>
      </c>
      <c r="G3" s="85">
        <f>SUM(E3*F3)</f>
        <v>0</v>
      </c>
    </row>
    <row r="4" spans="1:7" x14ac:dyDescent="0.2">
      <c r="A4" s="87">
        <v>0.05</v>
      </c>
      <c r="B4" t="s">
        <v>533</v>
      </c>
      <c r="E4" s="1">
        <v>387796</v>
      </c>
      <c r="F4">
        <v>0.05</v>
      </c>
      <c r="G4" s="85">
        <f>SUM(E4*F4)</f>
        <v>19389.8</v>
      </c>
    </row>
    <row r="5" spans="1:7" x14ac:dyDescent="0.2">
      <c r="G5" s="85">
        <f>SUM(G2:G4)</f>
        <v>37488.199999999997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FY27 Expense</vt:lpstr>
      <vt:lpstr>FY27 Revenue</vt:lpstr>
      <vt:lpstr>Unassigned Funds Historic Usage</vt:lpstr>
      <vt:lpstr>Unassigned Funds Projected</vt:lpstr>
      <vt:lpstr>Unassigned Funds past years</vt:lpstr>
      <vt:lpstr>FY26 Capital Reserve Expend</vt:lpstr>
      <vt:lpstr>Reserves</vt:lpstr>
      <vt:lpstr>FY27 Fire Protection</vt:lpstr>
      <vt:lpstr>'FY27 Expense'!Print_Area</vt:lpstr>
      <vt:lpstr>'FY27 Revenue'!Print_Area</vt:lpstr>
      <vt:lpstr>'FY27 Expense'!Print_Titles</vt:lpstr>
    </vt:vector>
  </TitlesOfParts>
  <Company>Town of Richmond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Velma Plouffe</dc:creator>
  <cp:lastModifiedBy>Josh Arneson</cp:lastModifiedBy>
  <cp:lastPrinted>2025-11-04T14:54:48Z</cp:lastPrinted>
  <dcterms:created xsi:type="dcterms:W3CDTF">2007-10-03T17:26:38Z</dcterms:created>
  <dcterms:modified xsi:type="dcterms:W3CDTF">2026-01-02T20:22:55Z</dcterms:modified>
</cp:coreProperties>
</file>