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540" windowWidth="23040" windowHeight="8820"/>
  </bookViews>
  <sheets>
    <sheet name="FY20 Draft" sheetId="8" r:id="rId1"/>
    <sheet name="FY19 Final" sheetId="7" r:id="rId2"/>
  </sheets>
  <externalReferences>
    <externalReference r:id="rId3"/>
  </externalReferences>
  <calcPr calcId="145621"/>
</workbook>
</file>

<file path=xl/calcChain.xml><?xml version="1.0" encoding="utf-8"?>
<calcChain xmlns="http://schemas.openxmlformats.org/spreadsheetml/2006/main">
  <c r="D67" i="8" l="1"/>
  <c r="F19" i="8" l="1"/>
  <c r="E77" i="8" l="1"/>
  <c r="J69" i="8"/>
  <c r="J68" i="8"/>
  <c r="J70" i="8" l="1"/>
  <c r="K69" i="8" s="1"/>
  <c r="D68" i="8" s="1"/>
  <c r="G131" i="8"/>
  <c r="F131" i="8"/>
  <c r="G123" i="8"/>
  <c r="F123" i="8"/>
  <c r="G115" i="8"/>
  <c r="F115" i="8"/>
  <c r="K45" i="8"/>
  <c r="E45" i="8"/>
  <c r="M43" i="8"/>
  <c r="G43" i="8"/>
  <c r="M42" i="8"/>
  <c r="G42" i="8"/>
  <c r="M41" i="8"/>
  <c r="G41" i="8"/>
  <c r="M40" i="8"/>
  <c r="G40" i="8"/>
  <c r="M39" i="8"/>
  <c r="G38" i="8"/>
  <c r="G37" i="8"/>
  <c r="M31" i="8"/>
  <c r="M32" i="8" s="1"/>
  <c r="L31" i="8"/>
  <c r="N31" i="8" s="1"/>
  <c r="O31" i="8" s="1"/>
  <c r="K31" i="8"/>
  <c r="K32" i="8" s="1"/>
  <c r="G31" i="8"/>
  <c r="G32" i="8" s="1"/>
  <c r="F31" i="8"/>
  <c r="H31" i="8" s="1"/>
  <c r="I31" i="8" s="1"/>
  <c r="E31" i="8"/>
  <c r="E32" i="8" s="1"/>
  <c r="M28" i="8"/>
  <c r="M27" i="8"/>
  <c r="L27" i="8"/>
  <c r="M96" i="8"/>
  <c r="L96" i="8"/>
  <c r="G96" i="8"/>
  <c r="F96" i="8"/>
  <c r="M95" i="8"/>
  <c r="M97" i="8" s="1"/>
  <c r="L95" i="8"/>
  <c r="G132" i="8" s="1"/>
  <c r="G95" i="8"/>
  <c r="G97" i="8" s="1"/>
  <c r="F95" i="8"/>
  <c r="F132" i="8" s="1"/>
  <c r="M92" i="8"/>
  <c r="L92" i="8"/>
  <c r="G92" i="8"/>
  <c r="F92" i="8"/>
  <c r="M91" i="8"/>
  <c r="M93" i="8" s="1"/>
  <c r="L91" i="8"/>
  <c r="G124" i="8" s="1"/>
  <c r="G91" i="8"/>
  <c r="G93" i="8" s="1"/>
  <c r="F91" i="8"/>
  <c r="F124" i="8" s="1"/>
  <c r="M88" i="8"/>
  <c r="L88" i="8"/>
  <c r="G88" i="8"/>
  <c r="F88" i="8"/>
  <c r="M87" i="8"/>
  <c r="M89" i="8" s="1"/>
  <c r="L87" i="8"/>
  <c r="G116" i="8" s="1"/>
  <c r="G87" i="8"/>
  <c r="G89" i="8" s="1"/>
  <c r="F87" i="8"/>
  <c r="F116" i="8" s="1"/>
  <c r="F79" i="8"/>
  <c r="E79" i="8"/>
  <c r="F78" i="8"/>
  <c r="E78" i="8"/>
  <c r="F77" i="8"/>
  <c r="F69" i="8"/>
  <c r="F68" i="8"/>
  <c r="F67" i="8"/>
  <c r="G61" i="8"/>
  <c r="H61" i="8" s="1"/>
  <c r="C61" i="8"/>
  <c r="E61" i="8" s="1"/>
  <c r="I58" i="8"/>
  <c r="E58" i="8"/>
  <c r="I57" i="8"/>
  <c r="E57" i="8"/>
  <c r="I56" i="8"/>
  <c r="E56" i="8"/>
  <c r="E11" i="8"/>
  <c r="E12" i="8" s="1"/>
  <c r="D11" i="8"/>
  <c r="D12" i="8" s="1"/>
  <c r="F10" i="8"/>
  <c r="F9" i="8"/>
  <c r="D56" i="8" l="1"/>
  <c r="K68" i="8"/>
  <c r="G117" i="8"/>
  <c r="E47" i="8"/>
  <c r="M29" i="8"/>
  <c r="G125" i="8"/>
  <c r="D57" i="8"/>
  <c r="M45" i="8"/>
  <c r="F133" i="8"/>
  <c r="F117" i="8"/>
  <c r="G133" i="8"/>
  <c r="F11" i="8"/>
  <c r="F12" i="8" s="1"/>
  <c r="G45" i="8"/>
  <c r="G47" i="8" s="1"/>
  <c r="G48" i="8" s="1"/>
  <c r="D58" i="8"/>
  <c r="E69" i="8" s="1"/>
  <c r="H58" i="8"/>
  <c r="H57" i="8"/>
  <c r="H56" i="8"/>
  <c r="I61" i="8"/>
  <c r="F70" i="8"/>
  <c r="F125" i="8"/>
  <c r="E67" i="8" l="1"/>
  <c r="F118" i="8"/>
  <c r="F134" i="8"/>
  <c r="E48" i="8"/>
  <c r="C75" i="8" s="1"/>
  <c r="D61" i="8"/>
  <c r="E75" i="8"/>
  <c r="F126" i="8"/>
  <c r="E68" i="8"/>
  <c r="M47" i="8"/>
  <c r="C79" i="8" l="1"/>
  <c r="D95" i="8" s="1"/>
  <c r="C77" i="8"/>
  <c r="D87" i="8" s="1"/>
  <c r="C78" i="8"/>
  <c r="D91" i="8" s="1"/>
  <c r="F20" i="8" s="1"/>
  <c r="E70" i="8"/>
  <c r="F75" i="8"/>
  <c r="M48" i="8"/>
  <c r="D92" i="8"/>
  <c r="E92" i="8" s="1"/>
  <c r="D124" i="8" l="1"/>
  <c r="H91" i="8"/>
  <c r="I91" i="8" s="1"/>
  <c r="E91" i="8"/>
  <c r="E93" i="8" s="1"/>
  <c r="H95" i="8"/>
  <c r="I95" i="8" s="1"/>
  <c r="D132" i="8"/>
  <c r="D116" i="8"/>
  <c r="H87" i="8"/>
  <c r="I87" i="8" s="1"/>
  <c r="E87" i="8"/>
  <c r="D88" i="8"/>
  <c r="E95" i="8"/>
  <c r="D96" i="8"/>
  <c r="H96" i="8" s="1"/>
  <c r="I96" i="8" s="1"/>
  <c r="H92" i="8"/>
  <c r="I92" i="8" s="1"/>
  <c r="D123" i="8"/>
  <c r="D125" i="8" s="1"/>
  <c r="G103" i="8" l="1"/>
  <c r="D115" i="8"/>
  <c r="D117" i="8" s="1"/>
  <c r="H88" i="8"/>
  <c r="I88" i="8" s="1"/>
  <c r="E88" i="8"/>
  <c r="E89" i="8" s="1"/>
  <c r="E96" i="8"/>
  <c r="D131" i="8"/>
  <c r="D133" i="8" s="1"/>
  <c r="G108" i="8"/>
  <c r="E97" i="8" l="1"/>
  <c r="G104" i="8"/>
  <c r="G105" i="8" s="1"/>
  <c r="I70" i="7"/>
  <c r="I69" i="7" s="1"/>
  <c r="D70" i="7"/>
  <c r="D69" i="7" s="1"/>
  <c r="D44" i="7"/>
  <c r="L40" i="7"/>
  <c r="G40" i="7"/>
  <c r="L37" i="7"/>
  <c r="I28" i="7"/>
  <c r="D28" i="7"/>
  <c r="I21" i="7"/>
  <c r="D21" i="7"/>
  <c r="I14" i="7"/>
  <c r="D14" i="7"/>
  <c r="I7" i="7"/>
  <c r="J6" i="7" s="1"/>
  <c r="H25" i="7" s="1"/>
  <c r="G7" i="7"/>
  <c r="H6" i="7" s="1"/>
  <c r="C25" i="7" s="1"/>
  <c r="N6" i="7"/>
  <c r="N5" i="7"/>
  <c r="L5" i="7"/>
  <c r="L6" i="7" s="1"/>
  <c r="H5" i="7"/>
  <c r="C18" i="7" s="1"/>
  <c r="O4" i="7"/>
  <c r="O3" i="7"/>
  <c r="I44" i="7" l="1"/>
  <c r="C20" i="7"/>
  <c r="D19" i="7" s="1"/>
  <c r="G42" i="7"/>
  <c r="L42" i="7"/>
  <c r="O5" i="7"/>
  <c r="O6" i="7" s="1"/>
  <c r="D22" i="7"/>
  <c r="H4" i="7"/>
  <c r="J5" i="7"/>
  <c r="H18" i="7" s="1"/>
  <c r="J7" i="7"/>
  <c r="J4" i="7"/>
  <c r="H11" i="7" s="1"/>
  <c r="H20" i="7" l="1"/>
  <c r="G20" i="7"/>
  <c r="G23" i="7"/>
  <c r="C27" i="7"/>
  <c r="H13" i="7"/>
  <c r="I12" i="7" s="1"/>
  <c r="H27" i="7"/>
  <c r="C11" i="7"/>
  <c r="H7" i="7"/>
  <c r="I22" i="7"/>
  <c r="I19" i="7"/>
  <c r="G24" i="7"/>
  <c r="I15" i="7" l="1"/>
  <c r="I26" i="7"/>
  <c r="I29" i="7"/>
  <c r="D29" i="7"/>
  <c r="D26" i="7"/>
  <c r="C13" i="7"/>
  <c r="L20" i="7"/>
  <c r="L13" i="7"/>
  <c r="L23" i="7"/>
  <c r="L16" i="7"/>
  <c r="F24" i="7"/>
  <c r="E24" i="7"/>
  <c r="D24" i="7" s="1"/>
  <c r="C8" i="7"/>
  <c r="L17" i="7"/>
  <c r="G27" i="7" l="1"/>
  <c r="G30" i="7"/>
  <c r="L30" i="7"/>
  <c r="L27" i="7"/>
  <c r="L24" i="7"/>
  <c r="L70" i="7"/>
  <c r="L65" i="7"/>
  <c r="J66" i="7" s="1"/>
  <c r="K17" i="7"/>
  <c r="J17" i="7"/>
  <c r="I17" i="7" s="1"/>
  <c r="D15" i="7"/>
  <c r="D12" i="7"/>
  <c r="L31" i="7" l="1"/>
  <c r="L66" i="7"/>
  <c r="L69" i="7"/>
  <c r="G31" i="7"/>
  <c r="G13" i="7"/>
  <c r="G16" i="7"/>
  <c r="J24" i="7"/>
  <c r="I24" i="7" s="1"/>
  <c r="K24" i="7"/>
  <c r="G68" i="7"/>
  <c r="G67" i="7"/>
  <c r="G63" i="7" l="1"/>
  <c r="E64" i="7" s="1"/>
  <c r="G64" i="7"/>
  <c r="F31" i="7"/>
  <c r="E31" i="7"/>
  <c r="D31" i="7" s="1"/>
  <c r="K31" i="7"/>
  <c r="J31" i="7"/>
  <c r="I31" i="7" s="1"/>
  <c r="L43" i="7"/>
  <c r="L61" i="7" s="1"/>
  <c r="L72" i="7" s="1"/>
  <c r="I73" i="7" s="1"/>
  <c r="I74" i="7" s="1"/>
  <c r="G17" i="7"/>
  <c r="G43" i="7" l="1"/>
  <c r="G61" i="7" s="1"/>
  <c r="G72" i="7" s="1"/>
  <c r="D73" i="7" s="1"/>
  <c r="D74" i="7" s="1"/>
  <c r="F17" i="7"/>
  <c r="E17" i="7"/>
  <c r="D17" i="7" s="1"/>
  <c r="N27" i="8" l="1"/>
  <c r="O27" i="8" s="1"/>
  <c r="K27" i="8"/>
  <c r="K29" i="8"/>
  <c r="K47" i="8" s="1"/>
  <c r="K48" i="8" s="1"/>
  <c r="D75" i="8" s="1"/>
  <c r="D77" i="8" l="1"/>
  <c r="D78" i="8"/>
  <c r="D79" i="8"/>
  <c r="J92" i="8" l="1"/>
  <c r="J91" i="8"/>
  <c r="F21" i="8" s="1"/>
  <c r="J88" i="8"/>
  <c r="J87" i="8"/>
  <c r="J96" i="8"/>
  <c r="J95" i="8"/>
  <c r="E115" i="8" l="1"/>
  <c r="N88" i="8"/>
  <c r="O88" i="8" s="1"/>
  <c r="K88" i="8"/>
  <c r="K95" i="8"/>
  <c r="N95" i="8"/>
  <c r="O95" i="8" s="1"/>
  <c r="E132" i="8"/>
  <c r="N91" i="8"/>
  <c r="O91" i="8" s="1"/>
  <c r="K91" i="8"/>
  <c r="E124" i="8"/>
  <c r="E131" i="8"/>
  <c r="K96" i="8"/>
  <c r="N96" i="8"/>
  <c r="O96" i="8" s="1"/>
  <c r="K92" i="8"/>
  <c r="E123" i="8"/>
  <c r="N92" i="8"/>
  <c r="O92" i="8" s="1"/>
  <c r="N87" i="8"/>
  <c r="O87" i="8" s="1"/>
  <c r="E116" i="8"/>
  <c r="K87" i="8"/>
  <c r="E117" i="8" l="1"/>
  <c r="D118" i="8" s="1"/>
  <c r="D119" i="8" s="1"/>
  <c r="D120" i="8" s="1"/>
  <c r="K93" i="8"/>
  <c r="K97" i="8"/>
  <c r="K89" i="8"/>
  <c r="H103" i="8"/>
  <c r="E125" i="8"/>
  <c r="D126" i="8" s="1"/>
  <c r="D127" i="8" s="1"/>
  <c r="D128" i="8" s="1"/>
  <c r="E133" i="8"/>
  <c r="D134" i="8" s="1"/>
  <c r="D135" i="8" s="1"/>
  <c r="D136" i="8" s="1"/>
  <c r="H104" i="8"/>
  <c r="H105" i="8" l="1"/>
  <c r="H108" i="8"/>
</calcChain>
</file>

<file path=xl/sharedStrings.xml><?xml version="1.0" encoding="utf-8"?>
<sst xmlns="http://schemas.openxmlformats.org/spreadsheetml/2006/main" count="350" uniqueCount="201">
  <si>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</si>
  <si>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</si>
  <si>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</si>
  <si>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</si>
  <si>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</si>
  <si>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</si>
  <si>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</si>
  <si>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</si>
  <si>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</si>
  <si>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</si>
  <si>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</si>
  <si>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</si>
  <si>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</si>
  <si>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</si>
  <si>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</si>
  <si>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</si>
  <si>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</si>
  <si>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</si>
  <si>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</si>
  <si>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</si>
  <si>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</si>
  <si>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</si>
  <si>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</si>
  <si>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</si>
  <si>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</si>
  <si>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</si>
  <si>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</si>
  <si>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</si>
  <si>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</si>
  <si>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</si>
  <si>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</si>
  <si>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</si>
  <si>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</si>
  <si>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</si>
  <si>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</si>
  <si>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</si>
  <si>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</si>
  <si>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</si>
  <si>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</si>
  <si>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</si>
  <si>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</si>
  <si>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</si>
  <si>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</si>
  <si>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</si>
  <si>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</si>
  <si>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</si>
  <si>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</si>
  <si>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</si>
  <si>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</si>
  <si>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</si>
  <si>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</si>
  <si>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</si>
  <si>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</si>
  <si>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</si>
  <si>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</si>
  <si>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</si>
  <si>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</si>
  <si>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</si>
  <si>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</si>
  <si>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</si>
  <si>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</si>
  <si>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</si>
  <si>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</si>
  <si>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</si>
  <si>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</si>
  <si>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</si>
  <si>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</si>
  <si>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</si>
  <si>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</si>
  <si>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</si>
  <si>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</si>
  <si>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</si>
  <si>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</si>
  <si>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</si>
  <si>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</si>
  <si>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</si>
  <si>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</si>
  <si>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</si>
  <si>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</si>
  <si>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</si>
  <si>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</si>
  <si>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</si>
  <si>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</si>
  <si>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</si>
  <si>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</si>
  <si>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FINAL REAL FY19</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</si>
  <si>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</si>
  <si>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</si>
  <si>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</si>
  <si>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</si>
  <si>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</si>
  <si>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</si>
  <si>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</si>
  <si>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</si>
  <si>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</si>
  <si>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</si>
  <si>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</si>
  <si>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</si>
  <si>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</si>
  <si>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</si>
  <si>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</si>
  <si>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</si>
  <si>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</si>
  <si>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</si>
  <si>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</si>
  <si>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</si>
  <si>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</si>
  <si>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</si>
  <si>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</si>
  <si>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</si>
  <si>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</si>
  <si>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</si>
  <si>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</si>
  <si>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</si>
  <si>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</si>
  <si>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</si>
  <si>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</si>
  <si>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</si>
  <si>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</si>
  <si>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</si>
  <si>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</si>
  <si>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</si>
  <si>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</si>
  <si>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</si>
  <si>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</si>
  <si>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</si>
  <si>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</si>
  <si>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</si>
  <si>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</si>
  <si>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</si>
  <si>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</si>
  <si>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</si>
  <si>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</si>
  <si>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</si>
  <si>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</si>
  <si>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</si>
  <si>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</si>
  <si>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</si>
  <si>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</si>
  <si>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</si>
  <si>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</si>
  <si>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</si>
  <si>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</si>
  <si>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</si>
  <si>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</si>
  <si>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</si>
  <si>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</si>
  <si>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</si>
  <si>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</si>
  <si>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</si>
  <si>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</si>
  <si>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</si>
  <si>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</si>
  <si>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</si>
  <si>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</si>
  <si>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</si>
  <si>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</si>
  <si>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</si>
  <si>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</si>
  <si>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</si>
  <si>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</si>
  <si>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</si>
  <si>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</si>
  <si>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</si>
  <si>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</si>
  <si>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</si>
  <si>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</si>
  <si>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</si>
  <si>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</si>
  <si>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</si>
  <si>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</si>
  <si>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</si>
  <si>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</si>
  <si>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</si>
  <si>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School (approx. $15K)</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</si>
  <si>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</si>
  <si>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</si>
  <si>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</si>
  <si>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</si>
  <si>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</si>
  <si>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</si>
  <si>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</si>
  <si>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</si>
  <si>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</si>
  <si>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</si>
  <si>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</si>
  <si>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</si>
  <si>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</si>
  <si>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</si>
  <si>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</si>
  <si>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</si>
  <si>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</si>
  <si>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</si>
  <si>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</si>
  <si>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</si>
  <si>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</si>
  <si>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</si>
  <si>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</si>
  <si>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</si>
  <si>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FY2020 Water and Sewer Draft Rate Sheet as of 5/17/19</t>
  </si>
  <si>
    <t>Industry fixed rate for Sewer is half the Commercial and Government plus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</si>
</sst>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25">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336">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0" fillId="5" borderId="0" xfId="0" applyFill="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20"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6" borderId="1" xfId="0" applyFont="1" applyFill="1" applyBorder="1"/>
    <xf numFmtId="0" fontId="19" fillId="6" borderId="11" xfId="0" applyFont="1" applyFill="1" applyBorder="1"/>
    <xf numFmtId="172" fontId="19" fillId="6" borderId="1" xfId="0" applyNumberFormat="1" applyFont="1" applyFill="1" applyBorder="1"/>
    <xf numFmtId="0" fontId="19" fillId="6" borderId="3" xfId="0" applyFont="1" applyFill="1" applyBorder="1"/>
    <xf numFmtId="0" fontId="19" fillId="6"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6"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6" borderId="3" xfId="0" applyFont="1" applyFill="1" applyBorder="1" applyAlignment="1">
      <alignment horizontal="center"/>
    </xf>
    <xf numFmtId="171" fontId="19" fillId="6" borderId="11" xfId="0" applyNumberFormat="1" applyFont="1" applyFill="1" applyBorder="1"/>
    <xf numFmtId="171" fontId="19" fillId="0" borderId="10" xfId="0" applyNumberFormat="1" applyFont="1" applyBorder="1" applyAlignment="1">
      <alignment horizontal="center"/>
    </xf>
    <xf numFmtId="0" fontId="19" fillId="6"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6"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6"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6"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6" borderId="10" xfId="0" applyFont="1" applyFill="1" applyBorder="1"/>
    <xf numFmtId="172" fontId="19" fillId="6" borderId="10" xfId="0" applyNumberFormat="1" applyFont="1" applyFill="1" applyBorder="1"/>
    <xf numFmtId="172" fontId="19" fillId="6"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6" borderId="10" xfId="0" applyNumberFormat="1" applyFont="1" applyFill="1" applyBorder="1"/>
    <xf numFmtId="10" fontId="19" fillId="6"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6" borderId="0" xfId="0" applyFont="1" applyFill="1"/>
    <xf numFmtId="0" fontId="19" fillId="6" borderId="0" xfId="0" applyFont="1" applyFill="1"/>
    <xf numFmtId="172" fontId="19" fillId="6" borderId="0" xfId="0" applyNumberFormat="1" applyFont="1" applyFill="1"/>
    <xf numFmtId="172" fontId="19" fillId="6" borderId="0" xfId="0" applyNumberFormat="1" applyFont="1" applyFill="1" applyBorder="1" applyAlignment="1">
      <alignment horizontal="center"/>
    </xf>
    <xf numFmtId="172" fontId="19" fillId="6"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6" borderId="10" xfId="0" applyNumberFormat="1" applyFont="1" applyFill="1" applyBorder="1"/>
    <xf numFmtId="171" fontId="20" fillId="6"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9" xfId="0" applyFont="1" applyBorder="1" applyAlignment="1">
      <alignment horizontal="center"/>
    </xf>
    <xf numFmtId="0" fontId="20" fillId="0" borderId="7" xfId="0" applyFont="1" applyBorder="1" applyAlignment="1">
      <alignment horizontal="center"/>
    </xf>
    <xf numFmtId="0" fontId="20" fillId="0" borderId="23" xfId="0" applyFont="1" applyBorder="1" applyAlignment="1">
      <alignment horizontal="center"/>
    </xf>
    <xf numFmtId="0" fontId="20" fillId="0" borderId="8"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24"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20" fillId="0" borderId="10"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19" fillId="0" borderId="10" xfId="0" applyFont="1" applyBorder="1" applyAlignment="1">
      <alignment horizontal="center"/>
    </xf>
    <xf numFmtId="0" fontId="19" fillId="0" borderId="0" xfId="0" applyFont="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view="pageBreakPreview" zoomScale="60" zoomScaleNormal="100" workbookViewId="0">
      <selection activeCell="H16" sqref="H16"/>
    </sheetView>
  </sheetViews>
  <sheetFormatPr defaultRowHeight="15"/>
  <cols>
    <col min="1" max="1" width="12.125" style="165" customWidth="1"/>
    <col min="2" max="2" width="11.75" style="165" customWidth="1"/>
    <col min="3" max="3" width="12" style="165" customWidth="1"/>
    <col min="4" max="4" width="12.625" style="165" customWidth="1"/>
    <col min="5" max="5" width="17.75" style="165" bestFit="1" customWidth="1"/>
    <col min="6" max="6" width="17.75" style="165" customWidth="1"/>
    <col min="7" max="7" width="15.875" style="165" bestFit="1" customWidth="1"/>
    <col min="8" max="8" width="11.75" style="165" bestFit="1" customWidth="1"/>
    <col min="9" max="9" width="12.625" style="165" bestFit="1" customWidth="1"/>
    <col min="10" max="10" width="11.375" style="165" customWidth="1"/>
    <col min="11" max="11" width="8.625" style="165" customWidth="1"/>
    <col min="12" max="12" width="12" style="165" bestFit="1" customWidth="1"/>
    <col min="13" max="13" width="12.625" style="165" bestFit="1" customWidth="1"/>
    <col min="14" max="14" width="11.625" style="165" bestFit="1" customWidth="1"/>
    <col min="15" max="15" width="10.625" style="166" customWidth="1"/>
    <col min="16" max="16" width="10.25" style="166" customWidth="1"/>
    <col min="17" max="21" width="8.625" style="166" customWidth="1"/>
    <col min="22" max="22" width="9.375" style="166" customWidth="1"/>
    <col min="23" max="23" width="8.125" style="166" customWidth="1"/>
    <col min="24" max="16384" width="9" style="165"/>
  </cols>
  <sheetData>
    <row r="1" spans="1:16">
      <c r="A1" s="191" t="s">
        <v>199</v>
      </c>
      <c r="B1" s="190"/>
      <c r="C1" s="190"/>
      <c r="D1" s="190"/>
    </row>
    <row r="2" spans="1:16">
      <c r="A2" s="167" t="s">
        <v>84</v>
      </c>
    </row>
    <row r="6" spans="1:16" ht="23.25">
      <c r="A6" s="296" t="s">
        <v>132</v>
      </c>
      <c r="B6" s="171"/>
      <c r="C6" s="171"/>
      <c r="D6" s="171"/>
      <c r="E6" s="171"/>
      <c r="F6" s="171"/>
      <c r="G6" s="171"/>
    </row>
    <row r="7" spans="1:16" ht="23.25">
      <c r="A7" s="295"/>
      <c r="B7" s="171"/>
      <c r="C7" s="171"/>
      <c r="D7" s="171"/>
      <c r="E7" s="171"/>
      <c r="F7" s="171"/>
      <c r="G7" s="171"/>
    </row>
    <row r="8" spans="1:16">
      <c r="A8" s="181"/>
      <c r="B8" s="170"/>
      <c r="C8" s="170"/>
      <c r="D8" s="278" t="s">
        <v>2</v>
      </c>
      <c r="E8" s="278" t="s">
        <v>26</v>
      </c>
      <c r="F8" s="277" t="s">
        <v>137</v>
      </c>
    </row>
    <row r="9" spans="1:16">
      <c r="A9" s="330" t="s">
        <v>135</v>
      </c>
      <c r="B9" s="331"/>
      <c r="C9" s="171"/>
      <c r="D9" s="179">
        <v>345137</v>
      </c>
      <c r="E9" s="179">
        <v>562000</v>
      </c>
      <c r="F9" s="180">
        <f>D9+E9</f>
        <v>907137</v>
      </c>
    </row>
    <row r="10" spans="1:16">
      <c r="A10" s="332" t="s">
        <v>136</v>
      </c>
      <c r="B10" s="333"/>
      <c r="C10" s="234"/>
      <c r="D10" s="293">
        <v>349534</v>
      </c>
      <c r="E10" s="293">
        <v>608603</v>
      </c>
      <c r="F10" s="294">
        <f>D10+E10</f>
        <v>958137</v>
      </c>
    </row>
    <row r="11" spans="1:16">
      <c r="A11" s="192" t="s">
        <v>138</v>
      </c>
      <c r="B11" s="193"/>
      <c r="C11" s="171"/>
      <c r="D11" s="179">
        <f>D10-D9</f>
        <v>4397</v>
      </c>
      <c r="E11" s="179">
        <f>E10-E9</f>
        <v>46603</v>
      </c>
      <c r="F11" s="180">
        <f>D11+E11</f>
        <v>51000</v>
      </c>
    </row>
    <row r="12" spans="1:16">
      <c r="A12" s="194" t="s">
        <v>139</v>
      </c>
      <c r="B12" s="195"/>
      <c r="C12" s="187"/>
      <c r="D12" s="176">
        <f>D11/D9</f>
        <v>1.273986851598061E-2</v>
      </c>
      <c r="E12" s="176">
        <f>E11/E9</f>
        <v>8.292348754448399E-2</v>
      </c>
      <c r="F12" s="177">
        <f>F11/F9</f>
        <v>5.6220835441614665E-2</v>
      </c>
    </row>
    <row r="14" spans="1:16" ht="23.25">
      <c r="A14" s="297" t="s">
        <v>195</v>
      </c>
    </row>
    <row r="15" spans="1:16" ht="23.25">
      <c r="A15" s="274"/>
      <c r="J15" s="276"/>
    </row>
    <row r="16" spans="1:16" ht="18.75">
      <c r="A16" s="289" t="s">
        <v>190</v>
      </c>
      <c r="N16" s="166"/>
      <c r="P16" s="165"/>
    </row>
    <row r="17" spans="1:16" ht="18.75">
      <c r="A17" s="289"/>
      <c r="N17" s="166"/>
      <c r="P17" s="165"/>
    </row>
    <row r="18" spans="1:16">
      <c r="A18" s="288" t="s">
        <v>196</v>
      </c>
      <c r="B18" s="309"/>
      <c r="C18" s="309"/>
      <c r="D18" s="310"/>
      <c r="N18" s="166"/>
      <c r="P18" s="165"/>
    </row>
    <row r="19" spans="1:16">
      <c r="A19" s="181" t="s">
        <v>200</v>
      </c>
      <c r="B19" s="170"/>
      <c r="C19" s="170"/>
      <c r="D19" s="170"/>
      <c r="E19" s="170"/>
      <c r="F19" s="308">
        <f>SUM(J91)*1.15</f>
        <v>660.50614567433831</v>
      </c>
      <c r="N19" s="166"/>
      <c r="P19" s="165"/>
    </row>
    <row r="20" spans="1:16">
      <c r="A20" s="172" t="s">
        <v>197</v>
      </c>
      <c r="B20" s="171"/>
      <c r="C20" s="171"/>
      <c r="D20" s="171"/>
      <c r="E20" s="171"/>
      <c r="F20" s="202">
        <f>SUM(D91)*0.5</f>
        <v>289.50956920931765</v>
      </c>
      <c r="N20" s="166"/>
      <c r="P20" s="165"/>
    </row>
    <row r="21" spans="1:16">
      <c r="A21" s="175" t="s">
        <v>198</v>
      </c>
      <c r="B21" s="187"/>
      <c r="C21" s="187"/>
      <c r="D21" s="187"/>
      <c r="E21" s="187"/>
      <c r="F21" s="203">
        <f>SUM(J91)*0.5</f>
        <v>287.17658507579927</v>
      </c>
      <c r="N21" s="166"/>
      <c r="P21" s="165"/>
    </row>
    <row r="22" spans="1:16">
      <c r="N22" s="166"/>
      <c r="P22" s="165"/>
    </row>
    <row r="23" spans="1:16">
      <c r="A23" s="168"/>
      <c r="D23" s="315" t="s">
        <v>2</v>
      </c>
      <c r="E23" s="316"/>
      <c r="F23" s="316"/>
      <c r="G23" s="316"/>
      <c r="H23" s="316"/>
      <c r="I23" s="316"/>
      <c r="J23" s="317" t="s">
        <v>26</v>
      </c>
      <c r="K23" s="316"/>
      <c r="L23" s="316"/>
      <c r="M23" s="316"/>
      <c r="N23" s="316"/>
      <c r="O23" s="318"/>
      <c r="P23" s="165"/>
    </row>
    <row r="24" spans="1:16">
      <c r="A24" s="168"/>
      <c r="D24" s="319" t="s">
        <v>136</v>
      </c>
      <c r="E24" s="320"/>
      <c r="F24" s="319" t="s">
        <v>153</v>
      </c>
      <c r="G24" s="320"/>
      <c r="H24" s="319" t="s">
        <v>154</v>
      </c>
      <c r="I24" s="324"/>
      <c r="J24" s="321" t="s">
        <v>136</v>
      </c>
      <c r="K24" s="320"/>
      <c r="L24" s="319" t="s">
        <v>153</v>
      </c>
      <c r="M24" s="320"/>
      <c r="N24" s="319" t="s">
        <v>154</v>
      </c>
      <c r="O24" s="320"/>
      <c r="P24" s="165"/>
    </row>
    <row r="25" spans="1:16" ht="30">
      <c r="A25" s="168"/>
      <c r="D25" s="237" t="s">
        <v>146</v>
      </c>
      <c r="E25" s="182" t="s">
        <v>152</v>
      </c>
      <c r="F25" s="237" t="s">
        <v>146</v>
      </c>
      <c r="G25" s="182" t="s">
        <v>152</v>
      </c>
      <c r="H25" s="237" t="s">
        <v>155</v>
      </c>
      <c r="I25" s="223" t="s">
        <v>156</v>
      </c>
      <c r="J25" s="251" t="s">
        <v>146</v>
      </c>
      <c r="K25" s="182" t="s">
        <v>152</v>
      </c>
      <c r="L25" s="237" t="s">
        <v>146</v>
      </c>
      <c r="M25" s="182" t="s">
        <v>150</v>
      </c>
      <c r="N25" s="237" t="s">
        <v>155</v>
      </c>
      <c r="O25" s="224" t="s">
        <v>156</v>
      </c>
      <c r="P25" s="165"/>
    </row>
    <row r="26" spans="1:16">
      <c r="A26" s="169" t="s">
        <v>14</v>
      </c>
      <c r="B26" s="170"/>
      <c r="C26" s="170"/>
      <c r="D26" s="181"/>
      <c r="E26" s="178"/>
      <c r="F26" s="181"/>
      <c r="G26" s="178"/>
      <c r="H26" s="181"/>
      <c r="I26" s="170"/>
      <c r="J26" s="255"/>
      <c r="K26" s="178"/>
      <c r="L26" s="181"/>
      <c r="M26" s="178"/>
      <c r="N26" s="283"/>
      <c r="O26" s="282"/>
    </row>
    <row r="27" spans="1:16">
      <c r="A27" s="172"/>
      <c r="B27" s="171" t="s">
        <v>146</v>
      </c>
      <c r="C27" s="171"/>
      <c r="D27" s="172"/>
      <c r="E27" s="182"/>
      <c r="F27" s="172"/>
      <c r="G27" s="182"/>
      <c r="H27" s="172"/>
      <c r="I27" s="171"/>
      <c r="J27" s="253">
        <v>660.15</v>
      </c>
      <c r="K27" s="236">
        <f>SUM(J59*J27)</f>
        <v>660.15</v>
      </c>
      <c r="L27" s="218">
        <f>SUM('FY19 Final'!I33)</f>
        <v>235</v>
      </c>
      <c r="M27" s="236">
        <f>SUM('FY19 Final'!L34)</f>
        <v>235</v>
      </c>
      <c r="N27" s="246">
        <f>SUM(J27-L27)</f>
        <v>425.15</v>
      </c>
      <c r="O27" s="242">
        <f>SUM(N27/L27)</f>
        <v>1.8091489361702127</v>
      </c>
      <c r="P27" s="165"/>
    </row>
    <row r="28" spans="1:16">
      <c r="A28" s="172"/>
      <c r="B28" s="171" t="s">
        <v>159</v>
      </c>
      <c r="C28" s="171"/>
      <c r="D28" s="172"/>
      <c r="E28" s="182"/>
      <c r="F28" s="172"/>
      <c r="G28" s="182"/>
      <c r="H28" s="172"/>
      <c r="I28" s="171"/>
      <c r="J28" s="256"/>
      <c r="K28" s="236">
        <v>1840</v>
      </c>
      <c r="L28" s="218"/>
      <c r="M28" s="236">
        <f>SUM('FY19 Final'!L36)</f>
        <v>2500</v>
      </c>
      <c r="N28" s="279"/>
      <c r="O28" s="185"/>
      <c r="P28" s="165"/>
    </row>
    <row r="29" spans="1:16">
      <c r="A29" s="175"/>
      <c r="B29" s="230" t="s">
        <v>161</v>
      </c>
      <c r="C29" s="230"/>
      <c r="D29" s="231"/>
      <c r="E29" s="233"/>
      <c r="F29" s="231"/>
      <c r="G29" s="233"/>
      <c r="H29" s="231"/>
      <c r="I29" s="230"/>
      <c r="J29" s="254"/>
      <c r="K29" s="240">
        <f>SUM(K27:K28)</f>
        <v>2500.15</v>
      </c>
      <c r="L29" s="245"/>
      <c r="M29" s="240">
        <f>SUM(M27:M28)</f>
        <v>2735</v>
      </c>
      <c r="N29" s="247"/>
      <c r="O29" s="244"/>
      <c r="P29" s="165"/>
    </row>
    <row r="30" spans="1:16">
      <c r="A30" s="243" t="s">
        <v>160</v>
      </c>
      <c r="B30" s="171"/>
      <c r="C30" s="171"/>
      <c r="D30" s="172"/>
      <c r="E30" s="275"/>
      <c r="F30" s="172"/>
      <c r="G30" s="182"/>
      <c r="H30" s="172"/>
      <c r="I30" s="171"/>
      <c r="J30" s="256"/>
      <c r="K30" s="236"/>
      <c r="L30" s="172"/>
      <c r="M30" s="236"/>
      <c r="N30" s="279"/>
      <c r="O30" s="185"/>
      <c r="P30" s="165"/>
    </row>
    <row r="31" spans="1:16">
      <c r="A31" s="172"/>
      <c r="B31" s="171" t="s">
        <v>146</v>
      </c>
      <c r="C31" s="171"/>
      <c r="D31" s="241">
        <v>289.51</v>
      </c>
      <c r="E31" s="236">
        <f>SUM(D31*F60)</f>
        <v>1447.55</v>
      </c>
      <c r="F31" s="218">
        <f>SUM('FY19 Final'!D39)</f>
        <v>238</v>
      </c>
      <c r="G31" s="236">
        <f>SUM('FY19 Final'!G40)</f>
        <v>1190</v>
      </c>
      <c r="H31" s="218">
        <f>SUM(D31-F31)</f>
        <v>51.509999999999991</v>
      </c>
      <c r="I31" s="183">
        <f>SUM(H31/F31)</f>
        <v>0.21642857142857139</v>
      </c>
      <c r="J31" s="253">
        <v>287.18</v>
      </c>
      <c r="K31" s="236">
        <f>SUM(J31*J60)</f>
        <v>1148.72</v>
      </c>
      <c r="L31" s="218">
        <f>SUM('FY19 Final'!I39)</f>
        <v>276</v>
      </c>
      <c r="M31" s="236">
        <f>SUM('FY19 Final'!L40)</f>
        <v>1104</v>
      </c>
      <c r="N31" s="246">
        <f>SUM(J31-L31)</f>
        <v>11.180000000000007</v>
      </c>
      <c r="O31" s="242">
        <f>SUM(N31/L31)</f>
        <v>4.050724637681162E-2</v>
      </c>
      <c r="P31" s="165"/>
    </row>
    <row r="32" spans="1:16">
      <c r="A32" s="175"/>
      <c r="B32" s="230" t="s">
        <v>161</v>
      </c>
      <c r="C32" s="230"/>
      <c r="D32" s="231"/>
      <c r="E32" s="240">
        <f>SUM(E31)</f>
        <v>1447.55</v>
      </c>
      <c r="F32" s="245"/>
      <c r="G32" s="240">
        <f>SUM(G31)</f>
        <v>1190</v>
      </c>
      <c r="H32" s="231"/>
      <c r="I32" s="230"/>
      <c r="J32" s="254"/>
      <c r="K32" s="240">
        <f>SUM(K31)</f>
        <v>1148.72</v>
      </c>
      <c r="L32" s="245"/>
      <c r="M32" s="240">
        <f>SUM(M31)</f>
        <v>1104</v>
      </c>
      <c r="N32" s="247"/>
      <c r="O32" s="244"/>
      <c r="P32" s="165"/>
    </row>
    <row r="33" spans="1:16">
      <c r="D33" s="276"/>
      <c r="E33" s="189"/>
      <c r="G33" s="189"/>
      <c r="K33" s="189"/>
      <c r="M33" s="189"/>
      <c r="N33" s="166"/>
      <c r="P33" s="165"/>
    </row>
    <row r="34" spans="1:16" ht="18.75">
      <c r="A34" s="289" t="s">
        <v>181</v>
      </c>
      <c r="D34" s="315" t="s">
        <v>2</v>
      </c>
      <c r="E34" s="316"/>
      <c r="F34" s="316"/>
      <c r="G34" s="316"/>
      <c r="H34" s="316"/>
      <c r="I34" s="316"/>
      <c r="J34" s="317" t="s">
        <v>26</v>
      </c>
      <c r="K34" s="316"/>
      <c r="L34" s="316"/>
      <c r="M34" s="316"/>
      <c r="N34" s="316"/>
      <c r="O34" s="318"/>
      <c r="P34" s="165"/>
    </row>
    <row r="35" spans="1:16">
      <c r="B35" s="171"/>
      <c r="C35" s="171"/>
      <c r="D35" s="319" t="s">
        <v>136</v>
      </c>
      <c r="E35" s="320"/>
      <c r="F35" s="319" t="s">
        <v>153</v>
      </c>
      <c r="G35" s="320"/>
      <c r="H35" s="212"/>
      <c r="I35" s="213"/>
      <c r="J35" s="321" t="s">
        <v>136</v>
      </c>
      <c r="K35" s="320"/>
      <c r="L35" s="319" t="s">
        <v>153</v>
      </c>
      <c r="M35" s="320"/>
      <c r="N35" s="280"/>
      <c r="O35" s="185"/>
      <c r="P35" s="165"/>
    </row>
    <row r="36" spans="1:16">
      <c r="B36" s="171"/>
      <c r="C36" s="171"/>
      <c r="D36" s="172"/>
      <c r="E36" s="182" t="s">
        <v>152</v>
      </c>
      <c r="F36" s="172"/>
      <c r="G36" s="182" t="s">
        <v>152</v>
      </c>
      <c r="H36" s="223"/>
      <c r="I36" s="223"/>
      <c r="J36" s="256"/>
      <c r="K36" s="182" t="s">
        <v>152</v>
      </c>
      <c r="L36" s="172"/>
      <c r="M36" s="182" t="s">
        <v>152</v>
      </c>
      <c r="N36" s="280"/>
      <c r="O36" s="185"/>
      <c r="P36" s="165"/>
    </row>
    <row r="37" spans="1:16">
      <c r="A37" s="181"/>
      <c r="B37" s="170" t="s">
        <v>162</v>
      </c>
      <c r="C37" s="170"/>
      <c r="D37" s="181"/>
      <c r="E37" s="249">
        <v>1500</v>
      </c>
      <c r="F37" s="181"/>
      <c r="G37" s="249">
        <f>SUM('FY19 Final'!G46)</f>
        <v>1500</v>
      </c>
      <c r="H37" s="248"/>
      <c r="I37" s="186"/>
      <c r="J37" s="255"/>
      <c r="K37" s="249"/>
      <c r="L37" s="181"/>
      <c r="M37" s="249"/>
      <c r="N37" s="280"/>
      <c r="O37" s="185"/>
      <c r="P37" s="165"/>
    </row>
    <row r="38" spans="1:16">
      <c r="A38" s="172"/>
      <c r="B38" s="171" t="s">
        <v>163</v>
      </c>
      <c r="C38" s="171"/>
      <c r="D38" s="172"/>
      <c r="E38" s="236">
        <v>49878</v>
      </c>
      <c r="F38" s="219"/>
      <c r="G38" s="188">
        <f>SUM('FY19 Final'!G48)</f>
        <v>45637</v>
      </c>
      <c r="H38" s="217"/>
      <c r="I38" s="183"/>
      <c r="J38" s="256"/>
      <c r="K38" s="236"/>
      <c r="L38" s="172"/>
      <c r="M38" s="236"/>
      <c r="N38" s="280"/>
      <c r="O38" s="185"/>
      <c r="P38" s="165"/>
    </row>
    <row r="39" spans="1:16">
      <c r="A39" s="172"/>
      <c r="B39" s="171" t="s">
        <v>182</v>
      </c>
      <c r="C39" s="171"/>
      <c r="D39" s="172"/>
      <c r="E39" s="182"/>
      <c r="F39" s="172"/>
      <c r="G39" s="182"/>
      <c r="H39" s="217"/>
      <c r="I39" s="183"/>
      <c r="J39" s="256"/>
      <c r="K39" s="236">
        <v>190000</v>
      </c>
      <c r="L39" s="172"/>
      <c r="M39" s="236">
        <f>SUM('FY19 Final'!L50)</f>
        <v>170000</v>
      </c>
      <c r="N39" s="280"/>
      <c r="O39" s="185"/>
      <c r="P39" s="165"/>
    </row>
    <row r="40" spans="1:16">
      <c r="A40" s="172"/>
      <c r="B40" s="171" t="s">
        <v>183</v>
      </c>
      <c r="C40" s="171"/>
      <c r="D40" s="172"/>
      <c r="E40" s="236">
        <v>0</v>
      </c>
      <c r="F40" s="235"/>
      <c r="G40" s="236">
        <f>SUM('FY19 Final'!G54)</f>
        <v>0</v>
      </c>
      <c r="H40" s="217"/>
      <c r="I40" s="183"/>
      <c r="J40" s="257"/>
      <c r="K40" s="236">
        <v>0</v>
      </c>
      <c r="L40" s="235"/>
      <c r="M40" s="236">
        <f>SUM('FY19 Final'!L54)</f>
        <v>0</v>
      </c>
      <c r="N40" s="280"/>
      <c r="O40" s="185"/>
      <c r="P40" s="165"/>
    </row>
    <row r="41" spans="1:16">
      <c r="A41" s="172"/>
      <c r="B41" s="171" t="s">
        <v>164</v>
      </c>
      <c r="C41" s="171"/>
      <c r="D41" s="172"/>
      <c r="E41" s="236">
        <v>500</v>
      </c>
      <c r="F41" s="235"/>
      <c r="G41" s="236">
        <f>SUM('FY19 Final'!G56)</f>
        <v>500</v>
      </c>
      <c r="H41" s="217"/>
      <c r="I41" s="183"/>
      <c r="J41" s="257"/>
      <c r="K41" s="236">
        <v>1000</v>
      </c>
      <c r="L41" s="235"/>
      <c r="M41" s="236">
        <f>SUM('FY19 Final'!L56)</f>
        <v>1000</v>
      </c>
      <c r="N41" s="280"/>
      <c r="O41" s="185"/>
      <c r="P41" s="165"/>
    </row>
    <row r="42" spans="1:16">
      <c r="A42" s="172"/>
      <c r="B42" s="171" t="s">
        <v>184</v>
      </c>
      <c r="C42" s="171"/>
      <c r="D42" s="172"/>
      <c r="E42" s="236">
        <v>0</v>
      </c>
      <c r="F42" s="235"/>
      <c r="G42" s="236">
        <f>SUM('FY19 Final'!G58)</f>
        <v>0</v>
      </c>
      <c r="H42" s="217"/>
      <c r="I42" s="183"/>
      <c r="J42" s="257"/>
      <c r="K42" s="236">
        <v>0</v>
      </c>
      <c r="L42" s="235"/>
      <c r="M42" s="236">
        <f>SUM('FY19 Final'!L58)</f>
        <v>0</v>
      </c>
      <c r="N42" s="280"/>
      <c r="O42" s="185"/>
      <c r="P42" s="165"/>
    </row>
    <row r="43" spans="1:16">
      <c r="A43" s="172"/>
      <c r="B43" s="171" t="s">
        <v>165</v>
      </c>
      <c r="C43" s="171"/>
      <c r="D43" s="172"/>
      <c r="E43" s="236">
        <v>1500</v>
      </c>
      <c r="F43" s="235"/>
      <c r="G43" s="236">
        <f>SUM('FY19 Final'!G60)</f>
        <v>0</v>
      </c>
      <c r="H43" s="217"/>
      <c r="I43" s="183"/>
      <c r="J43" s="257"/>
      <c r="K43" s="236">
        <v>3500</v>
      </c>
      <c r="L43" s="235"/>
      <c r="M43" s="236">
        <f>SUM('FY19 Final'!L60)</f>
        <v>0</v>
      </c>
      <c r="N43" s="280"/>
      <c r="O43" s="185"/>
      <c r="P43" s="165"/>
    </row>
    <row r="44" spans="1:16">
      <c r="A44" s="172"/>
      <c r="B44" s="171"/>
      <c r="C44" s="171"/>
      <c r="D44" s="172"/>
      <c r="E44" s="182"/>
      <c r="F44" s="172"/>
      <c r="G44" s="182"/>
      <c r="H44" s="171"/>
      <c r="I44" s="171"/>
      <c r="J44" s="256"/>
      <c r="K44" s="182"/>
      <c r="L44" s="172"/>
      <c r="M44" s="182"/>
      <c r="N44" s="280"/>
      <c r="O44" s="185"/>
      <c r="P44" s="165"/>
    </row>
    <row r="45" spans="1:16">
      <c r="A45" s="175"/>
      <c r="B45" s="230" t="s">
        <v>166</v>
      </c>
      <c r="C45" s="230"/>
      <c r="D45" s="231"/>
      <c r="E45" s="240">
        <f>SUM(E37:E43)</f>
        <v>53378</v>
      </c>
      <c r="F45" s="250"/>
      <c r="G45" s="240">
        <f>SUM(G37:G43)</f>
        <v>47637</v>
      </c>
      <c r="H45" s="232"/>
      <c r="I45" s="232"/>
      <c r="J45" s="258"/>
      <c r="K45" s="240">
        <f>SUM(K37:K43)</f>
        <v>194500</v>
      </c>
      <c r="L45" s="250"/>
      <c r="M45" s="240">
        <f>SUM(M37:M43)</f>
        <v>171000</v>
      </c>
      <c r="N45" s="259"/>
      <c r="O45" s="260"/>
      <c r="P45" s="165"/>
    </row>
    <row r="47" spans="1:16">
      <c r="A47" s="290" t="s">
        <v>191</v>
      </c>
      <c r="B47" s="291"/>
      <c r="C47" s="291"/>
      <c r="D47" s="291"/>
      <c r="E47" s="292">
        <f>SUM(E29+E32+E45)</f>
        <v>54825.55</v>
      </c>
      <c r="F47" s="292"/>
      <c r="G47" s="292">
        <f>SUM(G29+G32+G45)</f>
        <v>48827</v>
      </c>
      <c r="H47" s="292"/>
      <c r="I47" s="292"/>
      <c r="J47" s="292"/>
      <c r="K47" s="292">
        <f t="shared" ref="K47:M47" si="0">SUM(K29+K32+K45)</f>
        <v>198148.87</v>
      </c>
      <c r="L47" s="292"/>
      <c r="M47" s="292">
        <f t="shared" si="0"/>
        <v>174839</v>
      </c>
    </row>
    <row r="48" spans="1:16">
      <c r="A48" s="290" t="s">
        <v>192</v>
      </c>
      <c r="B48" s="291"/>
      <c r="C48" s="291"/>
      <c r="D48" s="291"/>
      <c r="E48" s="292">
        <f>SUM(D10-E47)</f>
        <v>294708.45</v>
      </c>
      <c r="F48" s="291"/>
      <c r="G48" s="292">
        <f>SUM(D9-G47)</f>
        <v>296310</v>
      </c>
      <c r="H48" s="291"/>
      <c r="I48" s="291"/>
      <c r="J48" s="291"/>
      <c r="K48" s="292">
        <f>SUM(E10-K47)</f>
        <v>410454.13</v>
      </c>
      <c r="L48" s="291"/>
      <c r="M48" s="292">
        <f>SUM(E9-M47)</f>
        <v>387161</v>
      </c>
    </row>
    <row r="50" spans="1:12" ht="23.25">
      <c r="A50" s="297" t="s">
        <v>194</v>
      </c>
    </row>
    <row r="51" spans="1:12">
      <c r="A51" s="193"/>
      <c r="B51" s="193"/>
      <c r="C51" s="171"/>
      <c r="D51" s="173"/>
      <c r="E51" s="173"/>
      <c r="F51" s="173"/>
      <c r="G51" s="173"/>
    </row>
    <row r="52" spans="1:12">
      <c r="A52" s="196" t="s">
        <v>140</v>
      </c>
      <c r="B52" s="171"/>
      <c r="C52" s="171"/>
      <c r="D52" s="171"/>
      <c r="E52" s="171"/>
      <c r="F52" s="171"/>
    </row>
    <row r="53" spans="1:12">
      <c r="A53" s="196"/>
      <c r="B53" s="171"/>
      <c r="C53" s="315" t="s">
        <v>2</v>
      </c>
      <c r="D53" s="316"/>
      <c r="E53" s="316"/>
      <c r="F53" s="318"/>
      <c r="G53" s="315" t="s">
        <v>26</v>
      </c>
      <c r="H53" s="316"/>
      <c r="I53" s="316"/>
      <c r="J53" s="318"/>
    </row>
    <row r="54" spans="1:12" ht="60">
      <c r="A54" s="181"/>
      <c r="B54" s="170"/>
      <c r="C54" s="327"/>
      <c r="D54" s="322"/>
      <c r="E54" s="206" t="s">
        <v>173</v>
      </c>
      <c r="F54" s="182"/>
      <c r="G54" s="212"/>
      <c r="H54" s="213"/>
      <c r="I54" s="206" t="s">
        <v>173</v>
      </c>
      <c r="J54" s="182"/>
    </row>
    <row r="55" spans="1:12">
      <c r="A55" s="172"/>
      <c r="B55" s="171"/>
      <c r="C55" s="285" t="s">
        <v>141</v>
      </c>
      <c r="D55" s="281" t="s">
        <v>142</v>
      </c>
      <c r="E55" s="222">
        <v>0.98</v>
      </c>
      <c r="F55" s="207" t="s">
        <v>149</v>
      </c>
      <c r="G55" s="285" t="s">
        <v>141</v>
      </c>
      <c r="H55" s="281" t="s">
        <v>142</v>
      </c>
      <c r="I55" s="222">
        <v>0.98</v>
      </c>
      <c r="J55" s="221" t="s">
        <v>149</v>
      </c>
    </row>
    <row r="56" spans="1:12">
      <c r="A56" s="172" t="s">
        <v>43</v>
      </c>
      <c r="B56" s="171"/>
      <c r="C56" s="208">
        <v>9292000</v>
      </c>
      <c r="D56" s="173">
        <f>C56/C$61</f>
        <v>0.56515181004281823</v>
      </c>
      <c r="E56" s="204">
        <f>SUM(C56*$E$55)</f>
        <v>9106160</v>
      </c>
      <c r="F56" s="209">
        <v>417</v>
      </c>
      <c r="G56" s="214">
        <v>9222400</v>
      </c>
      <c r="H56" s="173">
        <f>G56/G$61</f>
        <v>0.66811072393633586</v>
      </c>
      <c r="I56" s="204">
        <f>SUM(G56*$E$55)</f>
        <v>9037952</v>
      </c>
      <c r="J56" s="182">
        <v>414</v>
      </c>
    </row>
    <row r="57" spans="1:12">
      <c r="A57" s="325" t="s">
        <v>133</v>
      </c>
      <c r="B57" s="326"/>
      <c r="C57" s="208">
        <v>6141700</v>
      </c>
      <c r="D57" s="174">
        <f>C57/C$61</f>
        <v>0.37354637018295056</v>
      </c>
      <c r="E57" s="204">
        <f t="shared" ref="E57:E61" si="1">SUM(C57*$E$55)</f>
        <v>6018866</v>
      </c>
      <c r="F57" s="209">
        <v>72</v>
      </c>
      <c r="G57" s="215">
        <v>3573400</v>
      </c>
      <c r="H57" s="174">
        <f>G57/G$61</f>
        <v>0.25887262110883313</v>
      </c>
      <c r="I57" s="204">
        <f t="shared" ref="I57:I61" si="2">SUM(G57*$E$55)</f>
        <v>3501932</v>
      </c>
      <c r="J57" s="182">
        <v>74</v>
      </c>
    </row>
    <row r="58" spans="1:12">
      <c r="A58" s="172" t="s">
        <v>134</v>
      </c>
      <c r="B58" s="171"/>
      <c r="C58" s="208">
        <v>1007900</v>
      </c>
      <c r="D58" s="173">
        <f>C58/C$61</f>
        <v>6.1301819774231221E-2</v>
      </c>
      <c r="E58" s="204">
        <f t="shared" si="1"/>
        <v>987742</v>
      </c>
      <c r="F58" s="209">
        <v>3</v>
      </c>
      <c r="G58" s="214">
        <v>1007900</v>
      </c>
      <c r="H58" s="173">
        <f>G58/G$61</f>
        <v>7.3016654954830951E-2</v>
      </c>
      <c r="I58" s="204">
        <f t="shared" si="2"/>
        <v>987742</v>
      </c>
      <c r="J58" s="182">
        <v>3</v>
      </c>
    </row>
    <row r="59" spans="1:12">
      <c r="A59" s="172" t="s">
        <v>14</v>
      </c>
      <c r="B59" s="171"/>
      <c r="C59" s="208"/>
      <c r="D59" s="173"/>
      <c r="E59" s="204"/>
      <c r="F59" s="229">
        <v>0</v>
      </c>
      <c r="G59" s="214"/>
      <c r="H59" s="173"/>
      <c r="I59" s="204"/>
      <c r="J59" s="182">
        <v>1</v>
      </c>
    </row>
    <row r="60" spans="1:12">
      <c r="A60" s="172" t="s">
        <v>160</v>
      </c>
      <c r="B60" s="171"/>
      <c r="C60" s="208"/>
      <c r="D60" s="173"/>
      <c r="E60" s="204"/>
      <c r="F60" s="209">
        <v>5</v>
      </c>
      <c r="G60" s="214"/>
      <c r="H60" s="173"/>
      <c r="I60" s="204"/>
      <c r="J60" s="182">
        <v>4</v>
      </c>
    </row>
    <row r="61" spans="1:12">
      <c r="A61" s="175" t="s">
        <v>41</v>
      </c>
      <c r="B61" s="187"/>
      <c r="C61" s="210">
        <f>SUM(C56:C58)</f>
        <v>16441600</v>
      </c>
      <c r="D61" s="176">
        <f>SUM(D56:D58)</f>
        <v>1</v>
      </c>
      <c r="E61" s="205">
        <f t="shared" si="1"/>
        <v>16112768</v>
      </c>
      <c r="F61" s="211"/>
      <c r="G61" s="210">
        <f>SUM(G56:G58)</f>
        <v>13803700</v>
      </c>
      <c r="H61" s="176">
        <f>G61/G$61</f>
        <v>1</v>
      </c>
      <c r="I61" s="205">
        <f t="shared" si="2"/>
        <v>13527626</v>
      </c>
      <c r="J61" s="216"/>
    </row>
    <row r="64" spans="1:12">
      <c r="A64" s="168" t="s">
        <v>158</v>
      </c>
      <c r="H64" s="168" t="s">
        <v>185</v>
      </c>
      <c r="I64" s="168"/>
      <c r="J64" s="168"/>
      <c r="K64" s="168"/>
      <c r="L64" s="168"/>
    </row>
    <row r="65" spans="1:12">
      <c r="A65" s="168"/>
      <c r="C65" s="319" t="s">
        <v>2</v>
      </c>
      <c r="D65" s="324"/>
      <c r="E65" s="324"/>
      <c r="F65" s="320"/>
      <c r="H65" s="168" t="s">
        <v>186</v>
      </c>
      <c r="I65" s="168"/>
      <c r="J65" s="168"/>
      <c r="K65" s="168"/>
      <c r="L65" s="168"/>
    </row>
    <row r="66" spans="1:12">
      <c r="A66" s="181"/>
      <c r="B66" s="170"/>
      <c r="C66" s="170"/>
      <c r="D66" s="170" t="s">
        <v>157</v>
      </c>
      <c r="E66" s="170" t="s">
        <v>167</v>
      </c>
      <c r="F66" s="178" t="s">
        <v>168</v>
      </c>
      <c r="H66" s="168" t="s">
        <v>187</v>
      </c>
      <c r="I66" s="168"/>
      <c r="J66" s="168"/>
      <c r="K66" s="168"/>
      <c r="L66" s="168"/>
    </row>
    <row r="67" spans="1:12">
      <c r="A67" s="325" t="s">
        <v>43</v>
      </c>
      <c r="B67" s="326"/>
      <c r="C67" s="326"/>
      <c r="D67" s="183">
        <f>SUM(-(K68)*5/100)</f>
        <v>-3.0102956517231768E-2</v>
      </c>
      <c r="E67" s="183">
        <f>SUM(D56+D67)</f>
        <v>0.53504885352558651</v>
      </c>
      <c r="F67" s="197">
        <f>SUM('FY19 Final'!C11)</f>
        <v>0.57700966350845162</v>
      </c>
      <c r="J67" s="288" t="s">
        <v>188</v>
      </c>
      <c r="K67" s="316" t="s">
        <v>189</v>
      </c>
      <c r="L67" s="318"/>
    </row>
    <row r="68" spans="1:12">
      <c r="A68" s="192" t="s">
        <v>133</v>
      </c>
      <c r="B68" s="193"/>
      <c r="C68" s="171"/>
      <c r="D68" s="183">
        <f>SUM(-(K69)*5/100)</f>
        <v>-1.9897043482768228E-2</v>
      </c>
      <c r="E68" s="183">
        <f>SUM(D57+D68)</f>
        <v>0.35364932670018234</v>
      </c>
      <c r="F68" s="197">
        <f>SUM('FY19 Final'!C18)</f>
        <v>0.30546539078976365</v>
      </c>
      <c r="H68" s="169" t="s">
        <v>43</v>
      </c>
      <c r="I68" s="170"/>
      <c r="J68" s="286">
        <f>SUM(C56)</f>
        <v>9292000</v>
      </c>
      <c r="K68" s="186">
        <f>SUM(J68/J70)</f>
        <v>0.60205913034463543</v>
      </c>
      <c r="L68" s="178"/>
    </row>
    <row r="69" spans="1:12">
      <c r="A69" s="172" t="s">
        <v>174</v>
      </c>
      <c r="B69" s="171"/>
      <c r="C69" s="171"/>
      <c r="D69" s="183">
        <v>0.05</v>
      </c>
      <c r="E69" s="183">
        <f>SUM(D58+D69)</f>
        <v>0.11130181977423123</v>
      </c>
      <c r="F69" s="197">
        <f>SUM('FY19 Final'!C25)</f>
        <v>0.11752494570178476</v>
      </c>
      <c r="H69" s="243" t="s">
        <v>133</v>
      </c>
      <c r="I69" s="171"/>
      <c r="J69" s="204">
        <f>SUM(C57)</f>
        <v>6141700</v>
      </c>
      <c r="K69" s="183">
        <f>SUM(J69/J70)</f>
        <v>0.39794086965536457</v>
      </c>
      <c r="L69" s="182"/>
    </row>
    <row r="70" spans="1:12">
      <c r="A70" s="175" t="s">
        <v>143</v>
      </c>
      <c r="B70" s="187"/>
      <c r="C70" s="187"/>
      <c r="D70" s="187"/>
      <c r="E70" s="198">
        <f>SUM(E67:E69)</f>
        <v>1</v>
      </c>
      <c r="F70" s="199">
        <f>SUM(F67:F69)</f>
        <v>1</v>
      </c>
      <c r="H70" s="287" t="s">
        <v>143</v>
      </c>
      <c r="I70" s="187"/>
      <c r="J70" s="205">
        <f>SUM(J68:J69)</f>
        <v>15433700</v>
      </c>
      <c r="K70" s="187"/>
      <c r="L70" s="216"/>
    </row>
    <row r="72" spans="1:12">
      <c r="A72" s="168" t="s">
        <v>144</v>
      </c>
    </row>
    <row r="73" spans="1:12">
      <c r="A73" s="196"/>
      <c r="B73" s="171"/>
      <c r="C73" s="311" t="s">
        <v>136</v>
      </c>
      <c r="D73" s="314"/>
      <c r="E73" s="311" t="s">
        <v>135</v>
      </c>
      <c r="F73" s="314"/>
    </row>
    <row r="74" spans="1:12">
      <c r="A74" s="181"/>
      <c r="B74" s="170"/>
      <c r="C74" s="169" t="s">
        <v>2</v>
      </c>
      <c r="D74" s="200" t="s">
        <v>26</v>
      </c>
      <c r="E74" s="169" t="s">
        <v>2</v>
      </c>
      <c r="F74" s="200" t="s">
        <v>26</v>
      </c>
    </row>
    <row r="75" spans="1:12">
      <c r="A75" s="328" t="s">
        <v>193</v>
      </c>
      <c r="B75" s="329"/>
      <c r="C75" s="235">
        <f>SUM(E48)</f>
        <v>294708.45</v>
      </c>
      <c r="D75" s="236">
        <f>SUM(K48)</f>
        <v>410454.13</v>
      </c>
      <c r="E75" s="219">
        <f>SUM(G47)</f>
        <v>48827</v>
      </c>
      <c r="F75" s="202">
        <f>SUM(M47)</f>
        <v>174839</v>
      </c>
    </row>
    <row r="76" spans="1:12">
      <c r="A76" s="328"/>
      <c r="B76" s="329"/>
      <c r="C76" s="235"/>
      <c r="D76" s="236"/>
      <c r="E76" s="219"/>
      <c r="F76" s="202"/>
    </row>
    <row r="77" spans="1:12">
      <c r="A77" s="172" t="s">
        <v>43</v>
      </c>
      <c r="B77" s="171"/>
      <c r="C77" s="218">
        <f>SUM($C$75)*E67</f>
        <v>157683.41829680264</v>
      </c>
      <c r="D77" s="202">
        <f>SUM($D$75)*H56</f>
        <v>274228.80593695893</v>
      </c>
      <c r="E77" s="220">
        <f>SUM('FY19 Final'!G17)</f>
        <v>172347.01639333941</v>
      </c>
      <c r="F77" s="202">
        <f>SUM('FY19 Final'!L17)</f>
        <v>257191.10883620693</v>
      </c>
    </row>
    <row r="78" spans="1:12">
      <c r="A78" s="172" t="s">
        <v>133</v>
      </c>
      <c r="B78" s="171"/>
      <c r="C78" s="218">
        <f t="shared" ref="C78:C79" si="3">SUM($C$75)*E68</f>
        <v>104223.44491535435</v>
      </c>
      <c r="D78" s="202">
        <f t="shared" ref="D78:D79" si="4">SUM($D$75)*H57</f>
        <v>106255.33647804573</v>
      </c>
      <c r="E78" s="220">
        <f>SUM('FY19 Final'!G24)</f>
        <v>89069.449944914872</v>
      </c>
      <c r="F78" s="202">
        <f>SUM('FY19 Final'!L24)</f>
        <v>100646.7640086207</v>
      </c>
    </row>
    <row r="79" spans="1:12">
      <c r="A79" s="175" t="s">
        <v>134</v>
      </c>
      <c r="B79" s="187"/>
      <c r="C79" s="298">
        <f t="shared" si="3"/>
        <v>32801.586787843036</v>
      </c>
      <c r="D79" s="203">
        <f t="shared" si="4"/>
        <v>29969.987584995328</v>
      </c>
      <c r="E79" s="299">
        <f>SUM('FY19 Final'!G31)</f>
        <v>34823.816660895842</v>
      </c>
      <c r="F79" s="203">
        <f>SUM('FY19 Final'!L31)</f>
        <v>29323.127155172413</v>
      </c>
    </row>
    <row r="81" spans="1:23" ht="23.25">
      <c r="A81" s="297" t="s">
        <v>145</v>
      </c>
    </row>
    <row r="82" spans="1:23" ht="23.25">
      <c r="A82" s="297"/>
    </row>
    <row r="83" spans="1:23">
      <c r="A83" s="168"/>
      <c r="C83" s="181"/>
      <c r="D83" s="315" t="s">
        <v>2</v>
      </c>
      <c r="E83" s="316"/>
      <c r="F83" s="316"/>
      <c r="G83" s="316"/>
      <c r="H83" s="316"/>
      <c r="I83" s="316"/>
      <c r="J83" s="317" t="s">
        <v>26</v>
      </c>
      <c r="K83" s="316"/>
      <c r="L83" s="316"/>
      <c r="M83" s="316"/>
      <c r="N83" s="316"/>
      <c r="O83" s="318"/>
      <c r="P83" s="165"/>
    </row>
    <row r="84" spans="1:23">
      <c r="C84" s="172"/>
      <c r="D84" s="319" t="s">
        <v>136</v>
      </c>
      <c r="E84" s="320"/>
      <c r="F84" s="319" t="s">
        <v>153</v>
      </c>
      <c r="G84" s="320"/>
      <c r="H84" s="319" t="s">
        <v>154</v>
      </c>
      <c r="I84" s="324"/>
      <c r="J84" s="321" t="s">
        <v>136</v>
      </c>
      <c r="K84" s="320"/>
      <c r="L84" s="319" t="s">
        <v>153</v>
      </c>
      <c r="M84" s="320"/>
      <c r="N84" s="322" t="s">
        <v>154</v>
      </c>
      <c r="O84" s="323"/>
      <c r="P84" s="165"/>
    </row>
    <row r="85" spans="1:23" ht="51.75" customHeight="1">
      <c r="C85" s="172" t="s">
        <v>147</v>
      </c>
      <c r="D85" s="237" t="s">
        <v>151</v>
      </c>
      <c r="E85" s="182" t="s">
        <v>152</v>
      </c>
      <c r="F85" s="237" t="s">
        <v>151</v>
      </c>
      <c r="G85" s="182" t="s">
        <v>150</v>
      </c>
      <c r="H85" s="237" t="s">
        <v>155</v>
      </c>
      <c r="I85" s="223" t="s">
        <v>156</v>
      </c>
      <c r="J85" s="251" t="s">
        <v>151</v>
      </c>
      <c r="K85" s="182" t="s">
        <v>152</v>
      </c>
      <c r="L85" s="237" t="s">
        <v>151</v>
      </c>
      <c r="M85" s="182" t="s">
        <v>150</v>
      </c>
      <c r="N85" s="223" t="s">
        <v>155</v>
      </c>
      <c r="O85" s="224" t="s">
        <v>156</v>
      </c>
      <c r="P85" s="165"/>
    </row>
    <row r="86" spans="1:23">
      <c r="A86" s="169" t="s">
        <v>43</v>
      </c>
      <c r="B86" s="170"/>
      <c r="C86" s="181"/>
      <c r="D86" s="238"/>
      <c r="E86" s="178"/>
      <c r="F86" s="238"/>
      <c r="G86" s="178"/>
      <c r="H86" s="238"/>
      <c r="I86" s="227"/>
      <c r="J86" s="252"/>
      <c r="K86" s="178"/>
      <c r="L86" s="238"/>
      <c r="M86" s="178"/>
      <c r="N86" s="227"/>
      <c r="O86" s="228"/>
      <c r="P86" s="165"/>
    </row>
    <row r="87" spans="1:23">
      <c r="A87" s="172"/>
      <c r="B87" s="171" t="s">
        <v>146</v>
      </c>
      <c r="C87" s="225">
        <v>0.3</v>
      </c>
      <c r="D87" s="306">
        <f>SUM(C77*C87)/F56</f>
        <v>113.44130812719614</v>
      </c>
      <c r="E87" s="236">
        <f>SUM(D87*F56)</f>
        <v>47305.025489040789</v>
      </c>
      <c r="F87" s="239">
        <f>SUM('FY19 Final'!D12)</f>
        <v>141.19996523791662</v>
      </c>
      <c r="G87" s="236">
        <f>SUM('FY19 Final'!G13)</f>
        <v>58597.985573735394</v>
      </c>
      <c r="H87" s="218">
        <f>SUM(D87-F87)</f>
        <v>-27.758657110720478</v>
      </c>
      <c r="I87" s="184">
        <f>SUM(H87/F87)</f>
        <v>-0.19659110442377367</v>
      </c>
      <c r="J87" s="307">
        <f>SUM(D77*C87)/J56</f>
        <v>198.71652604127456</v>
      </c>
      <c r="K87" s="236">
        <f>SUM(J87*J56)</f>
        <v>82268.641781087674</v>
      </c>
      <c r="L87" s="239">
        <f>SUM('FY19 Final'!I12)</f>
        <v>187.27507924966525</v>
      </c>
      <c r="M87" s="236">
        <f>SUM('FY19 Final'!L13)</f>
        <v>77157.332650862081</v>
      </c>
      <c r="N87" s="201">
        <f>SUM(J87-L87)</f>
        <v>11.441446791609309</v>
      </c>
      <c r="O87" s="226">
        <f>SUM(N87/L87)</f>
        <v>6.1094336937143549E-2</v>
      </c>
      <c r="P87" s="165"/>
    </row>
    <row r="88" spans="1:23">
      <c r="A88" s="172"/>
      <c r="B88" s="171" t="s">
        <v>148</v>
      </c>
      <c r="C88" s="225">
        <v>0.7</v>
      </c>
      <c r="D88" s="306">
        <f>SUM(C77*C88)/(E56*0.001)</f>
        <v>12.121288535207141</v>
      </c>
      <c r="E88" s="236">
        <f>SUM(D88)*(E56*0.001)</f>
        <v>110378.39280776185</v>
      </c>
      <c r="F88" s="218">
        <f>SUM('FY19 Final'!D15)</f>
        <v>12.239585752893625</v>
      </c>
      <c r="G88" s="236">
        <f>SUM('FY19 Final'!G16)</f>
        <v>113749.03081960401</v>
      </c>
      <c r="H88" s="218">
        <f>SUM(D88-F88)</f>
        <v>-0.11829721768648405</v>
      </c>
      <c r="I88" s="184">
        <f>SUM(H88/F88)</f>
        <v>-9.6651324705590447E-3</v>
      </c>
      <c r="J88" s="307">
        <f>SUM(D77*C88)/(I56*0.001)</f>
        <v>21.239343178174796</v>
      </c>
      <c r="K88" s="236">
        <f>SUM(J88)*(I56*0.001)</f>
        <v>191960.16415587123</v>
      </c>
      <c r="L88" s="218">
        <f>SUM('FY19 Final'!I15)</f>
        <v>19.527401477832512</v>
      </c>
      <c r="M88" s="236">
        <f>SUM('FY19 Final'!L16)</f>
        <v>180033.77618534485</v>
      </c>
      <c r="N88" s="201">
        <f>SUM(J88-L88)</f>
        <v>1.7119417003422832</v>
      </c>
      <c r="O88" s="226">
        <f t="shared" ref="O88:O96" si="5">SUM(N88/L88)</f>
        <v>8.76686896761803E-2</v>
      </c>
      <c r="P88" s="165"/>
    </row>
    <row r="89" spans="1:23" s="167" customFormat="1">
      <c r="A89" s="300"/>
      <c r="B89" s="301" t="s">
        <v>161</v>
      </c>
      <c r="C89" s="300"/>
      <c r="D89" s="300"/>
      <c r="E89" s="302">
        <f>SUM(E87:E88)</f>
        <v>157683.41829680264</v>
      </c>
      <c r="F89" s="300"/>
      <c r="G89" s="302">
        <f>SUM(G87:G88)</f>
        <v>172347.01639333941</v>
      </c>
      <c r="H89" s="300"/>
      <c r="I89" s="301"/>
      <c r="J89" s="303"/>
      <c r="K89" s="302">
        <f>SUM(K87:K88)</f>
        <v>274228.80593695887</v>
      </c>
      <c r="L89" s="300"/>
      <c r="M89" s="302">
        <f>SUM(M87:M88)</f>
        <v>257191.10883620693</v>
      </c>
      <c r="N89" s="301"/>
      <c r="O89" s="304"/>
      <c r="Q89" s="305"/>
      <c r="R89" s="305"/>
      <c r="S89" s="305"/>
      <c r="T89" s="305"/>
      <c r="U89" s="305"/>
      <c r="V89" s="305"/>
      <c r="W89" s="305"/>
    </row>
    <row r="90" spans="1:23">
      <c r="A90" s="169" t="s">
        <v>133</v>
      </c>
      <c r="B90" s="170"/>
      <c r="C90" s="181"/>
      <c r="D90" s="181"/>
      <c r="E90" s="178"/>
      <c r="F90" s="181"/>
      <c r="G90" s="178"/>
      <c r="H90" s="181"/>
      <c r="I90" s="170"/>
      <c r="J90" s="255"/>
      <c r="K90" s="178"/>
      <c r="L90" s="181"/>
      <c r="M90" s="178"/>
      <c r="N90" s="284"/>
      <c r="O90" s="226"/>
      <c r="P90" s="165"/>
    </row>
    <row r="91" spans="1:23">
      <c r="A91" s="172"/>
      <c r="B91" s="171" t="s">
        <v>146</v>
      </c>
      <c r="C91" s="225">
        <v>0.4</v>
      </c>
      <c r="D91" s="306">
        <f>SUM(C78*C91)/F57</f>
        <v>579.01913841863529</v>
      </c>
      <c r="E91" s="236">
        <f>SUM(D91*F57)</f>
        <v>41689.377966141743</v>
      </c>
      <c r="F91" s="239">
        <f>SUM('FY19 Final'!D19)</f>
        <v>475.03706637287928</v>
      </c>
      <c r="G91" s="236">
        <f>SUM('FY19 Final'!G20)</f>
        <v>35627.779977965947</v>
      </c>
      <c r="H91" s="218">
        <f>SUM(D91-F91)</f>
        <v>103.98207204575601</v>
      </c>
      <c r="I91" s="184">
        <f>SUM(H91/F91)</f>
        <v>0.21889254419598389</v>
      </c>
      <c r="J91" s="307">
        <f>SUM(D78*C91)/J57</f>
        <v>574.35317015159853</v>
      </c>
      <c r="K91" s="236">
        <f>SUM(J91*J57)</f>
        <v>42502.134591218288</v>
      </c>
      <c r="L91" s="239">
        <f>SUM('FY19 Final'!I19)</f>
        <v>551.4891178554559</v>
      </c>
      <c r="M91" s="236">
        <f>SUM('FY19 Final'!L20)</f>
        <v>40258.705603448281</v>
      </c>
      <c r="N91" s="201">
        <f>SUM(J91-L91)</f>
        <v>22.864052296142631</v>
      </c>
      <c r="O91" s="226">
        <f t="shared" si="5"/>
        <v>4.1458755133832487E-2</v>
      </c>
      <c r="P91" s="165"/>
    </row>
    <row r="92" spans="1:23">
      <c r="A92" s="172"/>
      <c r="B92" s="171" t="s">
        <v>148</v>
      </c>
      <c r="C92" s="225">
        <v>0.6</v>
      </c>
      <c r="D92" s="306">
        <f>SUM(C78*C92)/(E57*0.001)</f>
        <v>10.389675887320404</v>
      </c>
      <c r="E92" s="236">
        <f>SUM(D92)*(E57*0.001)</f>
        <v>62534.066949212611</v>
      </c>
      <c r="F92" s="218">
        <f>SUM('FY19 Final'!D22)</f>
        <v>10.23369983162967</v>
      </c>
      <c r="G92" s="236">
        <f>SUM('FY19 Final'!G23)</f>
        <v>53441.669966948924</v>
      </c>
      <c r="H92" s="218">
        <f>SUM(D92-F92)</f>
        <v>0.15597605569073458</v>
      </c>
      <c r="I92" s="184">
        <f>SUM(H92/F92)</f>
        <v>1.5241413980958645E-2</v>
      </c>
      <c r="J92" s="307">
        <f>SUM(D78*C92)/(I57*0.001)</f>
        <v>18.205151295578393</v>
      </c>
      <c r="K92" s="236">
        <f>SUM(J92)*(I57*0.001)</f>
        <v>63753.201886827439</v>
      </c>
      <c r="L92" s="218">
        <f>SUM('FY19 Final'!I22)</f>
        <v>16.573106629832445</v>
      </c>
      <c r="M92" s="236">
        <f>SUM('FY19 Final'!L23)</f>
        <v>60388.058405172414</v>
      </c>
      <c r="N92" s="201">
        <f>SUM(J92-L92)</f>
        <v>1.6320446657459478</v>
      </c>
      <c r="O92" s="226">
        <f t="shared" si="5"/>
        <v>9.8475482128871569E-2</v>
      </c>
      <c r="P92" s="165"/>
    </row>
    <row r="93" spans="1:23" s="167" customFormat="1">
      <c r="A93" s="300"/>
      <c r="B93" s="301" t="s">
        <v>161</v>
      </c>
      <c r="C93" s="300"/>
      <c r="D93" s="300"/>
      <c r="E93" s="302">
        <f>SUM(E91:E92)</f>
        <v>104223.44491535435</v>
      </c>
      <c r="F93" s="300"/>
      <c r="G93" s="302">
        <f>SUM(G91:G92)</f>
        <v>89069.449944914872</v>
      </c>
      <c r="H93" s="300"/>
      <c r="I93" s="301"/>
      <c r="J93" s="303"/>
      <c r="K93" s="302">
        <f>SUM(K91:K92)</f>
        <v>106255.33647804573</v>
      </c>
      <c r="L93" s="300"/>
      <c r="M93" s="302">
        <f>SUM(M91:M92)</f>
        <v>100646.7640086207</v>
      </c>
      <c r="N93" s="301"/>
      <c r="O93" s="304"/>
      <c r="Q93" s="305"/>
      <c r="R93" s="305"/>
      <c r="S93" s="305"/>
      <c r="T93" s="305"/>
      <c r="U93" s="305"/>
      <c r="V93" s="305"/>
      <c r="W93" s="305"/>
    </row>
    <row r="94" spans="1:23">
      <c r="A94" s="169" t="s">
        <v>134</v>
      </c>
      <c r="B94" s="170"/>
      <c r="C94" s="181"/>
      <c r="D94" s="181"/>
      <c r="E94" s="178"/>
      <c r="F94" s="181"/>
      <c r="G94" s="178"/>
      <c r="H94" s="181"/>
      <c r="I94" s="170"/>
      <c r="J94" s="255"/>
      <c r="K94" s="178"/>
      <c r="L94" s="181"/>
      <c r="M94" s="178"/>
      <c r="N94" s="284"/>
      <c r="O94" s="226"/>
      <c r="P94" s="165"/>
    </row>
    <row r="95" spans="1:23">
      <c r="A95" s="172"/>
      <c r="B95" s="171" t="s">
        <v>146</v>
      </c>
      <c r="C95" s="225">
        <v>0.5</v>
      </c>
      <c r="D95" s="306">
        <f>SUM(C79*C95)/F58</f>
        <v>5466.931131307173</v>
      </c>
      <c r="E95" s="236">
        <f>SUM(D95*F58)</f>
        <v>16400.793393921518</v>
      </c>
      <c r="F95" s="239">
        <f>SUM('FY19 Final'!D26)</f>
        <v>5803.9694434826406</v>
      </c>
      <c r="G95" s="236">
        <f>SUM('FY19 Final'!G27)</f>
        <v>17411.908330447921</v>
      </c>
      <c r="H95" s="218">
        <f>SUM(D95-F95)</f>
        <v>-337.03831217546758</v>
      </c>
      <c r="I95" s="184">
        <f>SUM(H95/F95)</f>
        <v>-5.8070311268425552E-2</v>
      </c>
      <c r="J95" s="307">
        <f>SUM(D79*C95)/J58</f>
        <v>4994.9979308325546</v>
      </c>
      <c r="K95" s="236">
        <f>SUM(J95*J58)</f>
        <v>14984.993792497664</v>
      </c>
      <c r="L95" s="239">
        <f>SUM('FY19 Final'!I26)</f>
        <v>4887.1878591954019</v>
      </c>
      <c r="M95" s="236">
        <f>SUM('FY19 Final'!L27)</f>
        <v>14661.563577586207</v>
      </c>
      <c r="N95" s="201">
        <f>SUM(J95-L95)</f>
        <v>107.81007163715276</v>
      </c>
      <c r="O95" s="226">
        <f t="shared" si="5"/>
        <v>2.2059735525472923E-2</v>
      </c>
      <c r="P95" s="165"/>
    </row>
    <row r="96" spans="1:23">
      <c r="A96" s="172"/>
      <c r="B96" s="171" t="s">
        <v>148</v>
      </c>
      <c r="C96" s="225">
        <v>0.5</v>
      </c>
      <c r="D96" s="306">
        <f>SUM(C79*C96)/(E58*0.001)</f>
        <v>16.604329262015302</v>
      </c>
      <c r="E96" s="236">
        <f>SUM(D96)*(E58*0.001)</f>
        <v>16400.793393921518</v>
      </c>
      <c r="F96" s="218">
        <f>SUM('FY19 Final'!D29)</f>
        <v>16.564659144523819</v>
      </c>
      <c r="G96" s="236">
        <f>SUM('FY19 Final'!G30)</f>
        <v>17411.908330447921</v>
      </c>
      <c r="H96" s="218">
        <f>SUM(D96-F96)</f>
        <v>3.9670117491482415E-2</v>
      </c>
      <c r="I96" s="184">
        <f>SUM(H96/F96)</f>
        <v>2.3948647023381178E-3</v>
      </c>
      <c r="J96" s="307">
        <f>SUM(D79*C96)/(I58*0.001)</f>
        <v>15.170959412981997</v>
      </c>
      <c r="K96" s="236">
        <f>SUM(J96)*(I58*0.001)</f>
        <v>14984.993792497664</v>
      </c>
      <c r="L96" s="218">
        <f>SUM('FY19 Final'!I29)</f>
        <v>13.94814391273751</v>
      </c>
      <c r="M96" s="236">
        <f>SUM('FY19 Final'!L30)</f>
        <v>14661.563577586207</v>
      </c>
      <c r="N96" s="201">
        <f>SUM(J96-L96)</f>
        <v>1.2228155002444865</v>
      </c>
      <c r="O96" s="226">
        <f t="shared" si="5"/>
        <v>8.7668689676180189E-2</v>
      </c>
      <c r="P96" s="165"/>
    </row>
    <row r="97" spans="1:23" s="167" customFormat="1">
      <c r="A97" s="300"/>
      <c r="B97" s="301" t="s">
        <v>161</v>
      </c>
      <c r="C97" s="300"/>
      <c r="D97" s="300"/>
      <c r="E97" s="302">
        <f>SUM(E95:E96)</f>
        <v>32801.586787843036</v>
      </c>
      <c r="F97" s="300"/>
      <c r="G97" s="302">
        <f>SUM(G95:G96)</f>
        <v>34823.816660895842</v>
      </c>
      <c r="H97" s="300"/>
      <c r="I97" s="301"/>
      <c r="J97" s="303"/>
      <c r="K97" s="302">
        <f>SUM(K95:K96)</f>
        <v>29969.987584995328</v>
      </c>
      <c r="L97" s="300"/>
      <c r="M97" s="302">
        <f>SUM(M95:M96)</f>
        <v>29323.127155172413</v>
      </c>
      <c r="N97" s="301"/>
      <c r="O97" s="304"/>
      <c r="Q97" s="305"/>
      <c r="R97" s="305"/>
      <c r="S97" s="305"/>
      <c r="T97" s="305"/>
      <c r="U97" s="305"/>
      <c r="V97" s="305"/>
      <c r="W97" s="305"/>
    </row>
    <row r="98" spans="1:23">
      <c r="N98" s="166"/>
    </row>
    <row r="99" spans="1:23">
      <c r="E99" s="189"/>
    </row>
    <row r="100" spans="1:23" ht="23.25">
      <c r="A100" s="297" t="s">
        <v>169</v>
      </c>
    </row>
    <row r="101" spans="1:23" ht="23.25">
      <c r="A101" s="274"/>
    </row>
    <row r="102" spans="1:23">
      <c r="A102" s="181"/>
      <c r="B102" s="170"/>
      <c r="C102" s="170"/>
      <c r="D102" s="170"/>
      <c r="E102" s="170"/>
      <c r="F102" s="170"/>
      <c r="G102" s="169" t="s">
        <v>2</v>
      </c>
      <c r="H102" s="200" t="s">
        <v>26</v>
      </c>
    </row>
    <row r="103" spans="1:23">
      <c r="A103" s="172" t="s">
        <v>175</v>
      </c>
      <c r="B103" s="171"/>
      <c r="C103" s="171"/>
      <c r="D103" s="171"/>
      <c r="E103" s="171"/>
      <c r="F103" s="171"/>
      <c r="G103" s="235">
        <f>SUM(E87+E91+E95+E32+E38+E41+E43)</f>
        <v>158720.74684910406</v>
      </c>
      <c r="H103" s="236">
        <f>SUM(K87+K91+K95+K27+K32+(0.5*K39)+K41+K43)</f>
        <v>241064.64016480363</v>
      </c>
    </row>
    <row r="104" spans="1:23">
      <c r="A104" s="172" t="s">
        <v>172</v>
      </c>
      <c r="B104" s="171"/>
      <c r="C104" s="171"/>
      <c r="D104" s="171"/>
      <c r="E104" s="171"/>
      <c r="F104" s="171"/>
      <c r="G104" s="235">
        <f>SUM(E88+E92+E96+E37)</f>
        <v>190813.25315089597</v>
      </c>
      <c r="H104" s="236">
        <f>SUM(K88+K92+K96+K28+(0.5*K39))</f>
        <v>367538.35983519634</v>
      </c>
    </row>
    <row r="105" spans="1:23">
      <c r="A105" s="262" t="s">
        <v>143</v>
      </c>
      <c r="B105" s="234"/>
      <c r="C105" s="234"/>
      <c r="D105" s="234"/>
      <c r="E105" s="234"/>
      <c r="F105" s="234"/>
      <c r="G105" s="263">
        <f>SUM(G103:G104)</f>
        <v>349534</v>
      </c>
      <c r="H105" s="264">
        <f>SUM(H103:H104)</f>
        <v>608603</v>
      </c>
    </row>
    <row r="106" spans="1:23">
      <c r="A106" s="172"/>
      <c r="B106" s="171"/>
      <c r="C106" s="171"/>
      <c r="D106" s="171"/>
      <c r="E106" s="171"/>
      <c r="F106" s="171"/>
      <c r="G106" s="172"/>
      <c r="H106" s="182"/>
    </row>
    <row r="107" spans="1:23" ht="17.25" customHeight="1">
      <c r="A107" s="172" t="s">
        <v>170</v>
      </c>
      <c r="B107" s="171"/>
      <c r="C107" s="171"/>
      <c r="D107" s="171"/>
      <c r="E107" s="171"/>
      <c r="F107" s="171"/>
      <c r="G107" s="235">
        <v>193866</v>
      </c>
      <c r="H107" s="236">
        <v>171010</v>
      </c>
    </row>
    <row r="108" spans="1:23" ht="17.25" customHeight="1">
      <c r="A108" s="175" t="s">
        <v>171</v>
      </c>
      <c r="B108" s="187"/>
      <c r="C108" s="187"/>
      <c r="D108" s="187"/>
      <c r="E108" s="187"/>
      <c r="F108" s="187"/>
      <c r="G108" s="261">
        <f>SUM(G103-G107)/G107</f>
        <v>-0.18128631709993467</v>
      </c>
      <c r="H108" s="199">
        <f>SUM(H103-H107)/H107</f>
        <v>0.40965230199873476</v>
      </c>
    </row>
    <row r="111" spans="1:23" ht="23.25">
      <c r="A111" s="297" t="s">
        <v>176</v>
      </c>
    </row>
    <row r="112" spans="1:23">
      <c r="D112" s="311" t="s">
        <v>136</v>
      </c>
      <c r="E112" s="312"/>
      <c r="F112" s="313" t="s">
        <v>135</v>
      </c>
      <c r="G112" s="314"/>
    </row>
    <row r="113" spans="1:7">
      <c r="D113" s="279" t="s">
        <v>2</v>
      </c>
      <c r="E113" s="280" t="s">
        <v>26</v>
      </c>
      <c r="F113" s="265" t="s">
        <v>2</v>
      </c>
      <c r="G113" s="185" t="s">
        <v>26</v>
      </c>
    </row>
    <row r="114" spans="1:7">
      <c r="A114" s="169" t="s">
        <v>43</v>
      </c>
      <c r="B114" s="170"/>
      <c r="C114" s="170"/>
      <c r="D114" s="181"/>
      <c r="E114" s="268"/>
      <c r="F114" s="255"/>
      <c r="G114" s="178"/>
    </row>
    <row r="115" spans="1:7">
      <c r="A115" s="172" t="s">
        <v>148</v>
      </c>
      <c r="B115" s="171"/>
      <c r="C115" s="171"/>
      <c r="D115" s="218">
        <f>SUM((E56/F56)/1000)*D88</f>
        <v>264.69638563012438</v>
      </c>
      <c r="E115" s="269">
        <f>SUM((I56/J56)/1000)*J88</f>
        <v>463.67189409630743</v>
      </c>
      <c r="F115" s="266">
        <f>SUM(('FY19 Final'!D14/'FY19 Final'!D11)/1000)*'FY19 Final'!D15</f>
        <v>274.09405016772047</v>
      </c>
      <c r="G115" s="202">
        <f>SUM(('FY19 Final'!I14/'FY19 Final'!I11)/1000)*'FY19 Final'!I15</f>
        <v>436.97518491588556</v>
      </c>
    </row>
    <row r="116" spans="1:7">
      <c r="A116" s="172" t="s">
        <v>177</v>
      </c>
      <c r="B116" s="171"/>
      <c r="C116" s="171"/>
      <c r="D116" s="218">
        <f>SUM(D87)</f>
        <v>113.44130812719614</v>
      </c>
      <c r="E116" s="269">
        <f>SUM(J87)</f>
        <v>198.71652604127456</v>
      </c>
      <c r="F116" s="266">
        <f>SUM(F87)</f>
        <v>141.19996523791662</v>
      </c>
      <c r="G116" s="202">
        <f>SUM(L87)</f>
        <v>187.27507924966525</v>
      </c>
    </row>
    <row r="117" spans="1:7">
      <c r="A117" s="172" t="s">
        <v>143</v>
      </c>
      <c r="B117" s="171"/>
      <c r="C117" s="171"/>
      <c r="D117" s="218">
        <f>SUM(D115:D116)</f>
        <v>378.13769375732051</v>
      </c>
      <c r="E117" s="269">
        <f>SUM(E115:E116)</f>
        <v>662.38842013758199</v>
      </c>
      <c r="F117" s="266">
        <f t="shared" ref="F117:G117" si="6">SUM(F115:F116)</f>
        <v>415.29401540563708</v>
      </c>
      <c r="G117" s="202">
        <f t="shared" si="6"/>
        <v>624.25026416555079</v>
      </c>
    </row>
    <row r="118" spans="1:7">
      <c r="A118" s="262" t="s">
        <v>178</v>
      </c>
      <c r="B118" s="234"/>
      <c r="C118" s="234"/>
      <c r="D118" s="272">
        <f>SUM(D117:E117)</f>
        <v>1040.5261138949024</v>
      </c>
      <c r="E118" s="270"/>
      <c r="F118" s="266">
        <f>SUM(F117:G117)</f>
        <v>1039.5442795711879</v>
      </c>
      <c r="G118" s="202"/>
    </row>
    <row r="119" spans="1:7">
      <c r="A119" s="262" t="s">
        <v>179</v>
      </c>
      <c r="B119" s="234"/>
      <c r="C119" s="234"/>
      <c r="D119" s="272">
        <f>SUM(D118-F118)</f>
        <v>0.98183432371456547</v>
      </c>
      <c r="E119" s="270"/>
      <c r="F119" s="256"/>
      <c r="G119" s="182"/>
    </row>
    <row r="120" spans="1:7">
      <c r="A120" s="231" t="s">
        <v>180</v>
      </c>
      <c r="B120" s="230"/>
      <c r="C120" s="230"/>
      <c r="D120" s="273">
        <f>SUM(D119/F118)</f>
        <v>9.4448533170667082E-4</v>
      </c>
      <c r="E120" s="271"/>
      <c r="F120" s="267"/>
      <c r="G120" s="216"/>
    </row>
    <row r="121" spans="1:7">
      <c r="D121" s="172"/>
      <c r="E121" s="270"/>
      <c r="F121" s="256"/>
      <c r="G121" s="171"/>
    </row>
    <row r="122" spans="1:7">
      <c r="A122" s="169" t="s">
        <v>133</v>
      </c>
      <c r="B122" s="170"/>
      <c r="C122" s="170"/>
      <c r="D122" s="181"/>
      <c r="E122" s="268"/>
      <c r="F122" s="255"/>
      <c r="G122" s="178"/>
    </row>
    <row r="123" spans="1:7">
      <c r="A123" s="172" t="s">
        <v>148</v>
      </c>
      <c r="B123" s="171"/>
      <c r="C123" s="171"/>
      <c r="D123" s="218">
        <f>SUM((E57/F57)/1000)*D92</f>
        <v>868.52870762795283</v>
      </c>
      <c r="E123" s="269">
        <f>SUM((I57/J57)/1000)*J92</f>
        <v>861.5297552273978</v>
      </c>
      <c r="F123" s="266">
        <f>SUM(('FY19 Final'!D21/'FY19 Final'!D18)/1000)*'FY19 Final'!D22</f>
        <v>712.55559955931881</v>
      </c>
      <c r="G123" s="202">
        <f>SUM(('FY19 Final'!I21/'FY19 Final'!I18)/1000)*'FY19 Final'!I22</f>
        <v>827.2336767831838</v>
      </c>
    </row>
    <row r="124" spans="1:7">
      <c r="A124" s="172" t="s">
        <v>177</v>
      </c>
      <c r="B124" s="171"/>
      <c r="C124" s="171"/>
      <c r="D124" s="218">
        <f>SUM(D91)</f>
        <v>579.01913841863529</v>
      </c>
      <c r="E124" s="269">
        <f>SUM(J91)</f>
        <v>574.35317015159853</v>
      </c>
      <c r="F124" s="266">
        <f>SUM(F91)</f>
        <v>475.03706637287928</v>
      </c>
      <c r="G124" s="202">
        <f>SUM(L91)</f>
        <v>551.4891178554559</v>
      </c>
    </row>
    <row r="125" spans="1:7">
      <c r="A125" s="172" t="s">
        <v>143</v>
      </c>
      <c r="B125" s="171"/>
      <c r="C125" s="171"/>
      <c r="D125" s="218">
        <f>SUM(D123:D124)</f>
        <v>1447.5478460465881</v>
      </c>
      <c r="E125" s="269">
        <f>SUM(E123:E124)</f>
        <v>1435.8829253789963</v>
      </c>
      <c r="F125" s="266">
        <f t="shared" ref="F125:G125" si="7">SUM(F123:F124)</f>
        <v>1187.5926659321981</v>
      </c>
      <c r="G125" s="202">
        <f t="shared" si="7"/>
        <v>1378.7227946386397</v>
      </c>
    </row>
    <row r="126" spans="1:7">
      <c r="A126" s="262" t="s">
        <v>178</v>
      </c>
      <c r="B126" s="234"/>
      <c r="C126" s="234"/>
      <c r="D126" s="272">
        <f>SUM(D125:E125)</f>
        <v>2883.4307714255847</v>
      </c>
      <c r="E126" s="270"/>
      <c r="F126" s="266">
        <f>SUM(F125:G125)</f>
        <v>2566.3154605708378</v>
      </c>
      <c r="G126" s="202"/>
    </row>
    <row r="127" spans="1:7">
      <c r="A127" s="262" t="s">
        <v>179</v>
      </c>
      <c r="B127" s="234"/>
      <c r="C127" s="234"/>
      <c r="D127" s="272">
        <f>SUM(D126-F126)</f>
        <v>317.11531085474689</v>
      </c>
      <c r="E127" s="270"/>
      <c r="F127" s="256"/>
      <c r="G127" s="182"/>
    </row>
    <row r="128" spans="1:7">
      <c r="A128" s="231" t="s">
        <v>180</v>
      </c>
      <c r="B128" s="230"/>
      <c r="C128" s="230"/>
      <c r="D128" s="273">
        <f>SUM(D127/F126)</f>
        <v>0.12356832810577754</v>
      </c>
      <c r="E128" s="271"/>
      <c r="F128" s="267"/>
      <c r="G128" s="216"/>
    </row>
    <row r="129" spans="1:7">
      <c r="D129" s="172"/>
      <c r="E129" s="270"/>
      <c r="F129" s="256"/>
      <c r="G129" s="171"/>
    </row>
    <row r="130" spans="1:7">
      <c r="A130" s="169" t="s">
        <v>134</v>
      </c>
      <c r="B130" s="170"/>
      <c r="C130" s="170"/>
      <c r="D130" s="181"/>
      <c r="E130" s="268"/>
      <c r="F130" s="255"/>
      <c r="G130" s="178"/>
    </row>
    <row r="131" spans="1:7">
      <c r="A131" s="172" t="s">
        <v>148</v>
      </c>
      <c r="B131" s="171"/>
      <c r="C131" s="171"/>
      <c r="D131" s="218">
        <f>SUM((E58/F58)/1000)*D96</f>
        <v>5466.9311313071721</v>
      </c>
      <c r="E131" s="269">
        <f>SUM((I58/J58)/1000)*J96</f>
        <v>4994.9979308325537</v>
      </c>
      <c r="F131" s="266">
        <f>SUM(('FY19 Final'!D28/'FY19 Final'!D25)/1000)*'FY19 Final'!D29</f>
        <v>5803.9694434826415</v>
      </c>
      <c r="G131" s="202">
        <f>SUM(('FY19 Final'!I28/'FY19 Final'!I25)/1000)*'FY19 Final'!I29</f>
        <v>4887.1878591954037</v>
      </c>
    </row>
    <row r="132" spans="1:7">
      <c r="A132" s="172" t="s">
        <v>177</v>
      </c>
      <c r="B132" s="171"/>
      <c r="C132" s="171"/>
      <c r="D132" s="218">
        <f>SUM(D95)</f>
        <v>5466.931131307173</v>
      </c>
      <c r="E132" s="269">
        <f>SUM(J95)</f>
        <v>4994.9979308325546</v>
      </c>
      <c r="F132" s="266">
        <f>SUM(F95)</f>
        <v>5803.9694434826406</v>
      </c>
      <c r="G132" s="202">
        <f>SUM(L95)</f>
        <v>4887.1878591954019</v>
      </c>
    </row>
    <row r="133" spans="1:7">
      <c r="A133" s="172" t="s">
        <v>143</v>
      </c>
      <c r="B133" s="171"/>
      <c r="C133" s="171"/>
      <c r="D133" s="218">
        <f>SUM(D131:D132)</f>
        <v>10933.862262614344</v>
      </c>
      <c r="E133" s="269">
        <f>SUM(E131:E132)</f>
        <v>9989.9958616651093</v>
      </c>
      <c r="F133" s="266">
        <f t="shared" ref="F133:G133" si="8">SUM(F131:F132)</f>
        <v>11607.938886965283</v>
      </c>
      <c r="G133" s="202">
        <f t="shared" si="8"/>
        <v>9774.3757183908056</v>
      </c>
    </row>
    <row r="134" spans="1:7">
      <c r="A134" s="262" t="s">
        <v>178</v>
      </c>
      <c r="B134" s="234"/>
      <c r="C134" s="234"/>
      <c r="D134" s="272">
        <f>SUM(D133:E133)</f>
        <v>20923.858124279453</v>
      </c>
      <c r="E134" s="270"/>
      <c r="F134" s="266">
        <f>SUM(F133:G133)</f>
        <v>21382.314605356089</v>
      </c>
      <c r="G134" s="202"/>
    </row>
    <row r="135" spans="1:7">
      <c r="A135" s="262" t="s">
        <v>179</v>
      </c>
      <c r="B135" s="234"/>
      <c r="C135" s="234"/>
      <c r="D135" s="272">
        <f>SUM(D134-F134)</f>
        <v>-458.4564810766351</v>
      </c>
      <c r="E135" s="270"/>
      <c r="F135" s="256"/>
      <c r="G135" s="182"/>
    </row>
    <row r="136" spans="1:7">
      <c r="A136" s="231" t="s">
        <v>180</v>
      </c>
      <c r="B136" s="230"/>
      <c r="C136" s="230"/>
      <c r="D136" s="273">
        <f>SUM(D135/F134)</f>
        <v>-2.1440919261462726E-2</v>
      </c>
      <c r="E136" s="271"/>
      <c r="F136" s="267"/>
      <c r="G136" s="216"/>
    </row>
  </sheetData>
  <mergeCells count="36">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 ref="F84:G84"/>
    <mergeCell ref="H84:I84"/>
    <mergeCell ref="J84:K84"/>
    <mergeCell ref="L84:M84"/>
    <mergeCell ref="K67:L67"/>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s>
  <pageMargins left="0.7" right="0.7" top="0.75" bottom="0.75" header="0.3" footer="0.3"/>
  <pageSetup scale="59" orientation="landscape" verticalDpi="0" r:id="rId1"/>
  <rowBreaks count="2" manualBreakCount="2">
    <brk id="49"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election activeCell="H5" sqref="H5"/>
    </sheetView>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15" thickBot="1">
      <c r="B1" s="164" t="s">
        <v>85</v>
      </c>
    </row>
    <row r="2" spans="1:15">
      <c r="B2" t="s">
        <v>46</v>
      </c>
      <c r="F2" s="49" t="s">
        <v>52</v>
      </c>
      <c r="G2" s="50"/>
      <c r="H2" s="96">
        <v>0.98</v>
      </c>
      <c r="I2" s="97" t="s">
        <v>55</v>
      </c>
      <c r="J2" s="98"/>
      <c r="K2" s="49"/>
      <c r="L2" s="149" t="s">
        <v>69</v>
      </c>
      <c r="M2" s="149"/>
      <c r="N2" s="149" t="s">
        <v>67</v>
      </c>
      <c r="O2" s="156" t="s">
        <v>70</v>
      </c>
    </row>
    <row r="3" spans="1:15" ht="20.25">
      <c r="A3" s="161" t="s">
        <v>86</v>
      </c>
      <c r="B3" s="36" t="s">
        <v>45</v>
      </c>
      <c r="F3" s="51"/>
      <c r="G3" s="334" t="s">
        <v>69</v>
      </c>
      <c r="H3" s="334"/>
      <c r="I3" s="334" t="s">
        <v>67</v>
      </c>
      <c r="J3" s="335"/>
      <c r="K3" s="150" t="s">
        <v>87</v>
      </c>
      <c r="L3" s="151">
        <v>327104</v>
      </c>
      <c r="M3" s="151"/>
      <c r="N3" s="151">
        <v>583270</v>
      </c>
      <c r="O3" s="152">
        <f>L3+N3</f>
        <v>910374</v>
      </c>
    </row>
    <row r="4" spans="1:15" ht="20.25">
      <c r="A4" s="161" t="s">
        <v>88</v>
      </c>
      <c r="B4" s="33" t="s">
        <v>89</v>
      </c>
      <c r="F4" s="51" t="s">
        <v>39</v>
      </c>
      <c r="G4" s="89">
        <v>9483200</v>
      </c>
      <c r="H4" s="90">
        <f>G4/G$7</f>
        <v>0.59700966350845164</v>
      </c>
      <c r="I4" s="91">
        <v>9407700</v>
      </c>
      <c r="J4" s="92">
        <f>I4/I$7</f>
        <v>0.66258874239350918</v>
      </c>
      <c r="K4" s="150" t="s">
        <v>82</v>
      </c>
      <c r="L4" s="151">
        <v>345137</v>
      </c>
      <c r="M4" s="151"/>
      <c r="N4" s="151">
        <v>562000</v>
      </c>
      <c r="O4" s="152">
        <f t="shared" ref="O4:O5" si="0">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 t="shared" si="0"/>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90</v>
      </c>
      <c r="D12" s="21">
        <f>(C13*0.34)/D11</f>
        <v>141.19996523791662</v>
      </c>
      <c r="E12" s="10"/>
      <c r="F12" s="163"/>
      <c r="G12" s="3"/>
      <c r="H12" s="129" t="s">
        <v>91</v>
      </c>
      <c r="I12" s="21">
        <f>(H13*0.3)/I11</f>
        <v>187.27507924966525</v>
      </c>
      <c r="L12" s="3"/>
      <c r="M12" s="10"/>
      <c r="N12" s="121"/>
      <c r="O12" s="121"/>
    </row>
    <row r="13" spans="1:15">
      <c r="A13" s="19" t="s">
        <v>38</v>
      </c>
      <c r="B13" s="2" t="s">
        <v>49</v>
      </c>
      <c r="C13" s="39">
        <f>C11*(D$10--G42-G46-G48-G52-G56)</f>
        <v>172347.01639333941</v>
      </c>
      <c r="D13" s="55" t="s">
        <v>92</v>
      </c>
      <c r="E13" s="163"/>
      <c r="F13" s="163"/>
      <c r="G13" s="3">
        <f>D11*D12</f>
        <v>58597.985573735394</v>
      </c>
      <c r="H13" s="39">
        <f>H11*(I10-L37-L42-L50-L52)</f>
        <v>257191.10883620693</v>
      </c>
      <c r="I13" s="55" t="s">
        <v>93</v>
      </c>
      <c r="L13" s="3">
        <f>+I12*I11</f>
        <v>77157.332650862081</v>
      </c>
      <c r="M13" s="10"/>
      <c r="N13" s="121"/>
      <c r="O13" s="121"/>
    </row>
    <row r="14" spans="1:15">
      <c r="A14" t="s">
        <v>8</v>
      </c>
      <c r="B14" s="2" t="s">
        <v>50</v>
      </c>
      <c r="C14" s="68" t="s">
        <v>94</v>
      </c>
      <c r="D14" s="56">
        <f>G4*H2</f>
        <v>9293536</v>
      </c>
      <c r="E14" s="163" t="s">
        <v>54</v>
      </c>
      <c r="F14" s="163"/>
      <c r="G14" s="2"/>
      <c r="H14" s="68" t="s">
        <v>95</v>
      </c>
      <c r="I14" s="59">
        <f>I4*H2</f>
        <v>9219546</v>
      </c>
      <c r="J14" t="s">
        <v>54</v>
      </c>
      <c r="L14" s="2"/>
      <c r="M14" s="163"/>
      <c r="N14" s="121"/>
      <c r="O14" s="121"/>
    </row>
    <row r="15" spans="1:15" ht="15">
      <c r="B15" s="2" t="s">
        <v>9</v>
      </c>
      <c r="C15" s="44"/>
      <c r="D15" s="57">
        <f>(C13*0.66)/(D14/1000)</f>
        <v>12.239585752893625</v>
      </c>
      <c r="E15" s="41" t="s">
        <v>96</v>
      </c>
      <c r="F15" s="163"/>
      <c r="G15" s="2"/>
      <c r="H15" s="72"/>
      <c r="I15" s="57">
        <f>(H13*0.7)/(I14*0.001)</f>
        <v>19.527401477832512</v>
      </c>
      <c r="J15" s="41" t="s">
        <v>97</v>
      </c>
      <c r="L15" s="2"/>
      <c r="M15" s="163"/>
      <c r="N15" s="121"/>
      <c r="O15" s="121"/>
    </row>
    <row r="16" spans="1:15">
      <c r="B16" s="2" t="s">
        <v>10</v>
      </c>
      <c r="C16" s="44"/>
      <c r="D16" s="55" t="s">
        <v>98</v>
      </c>
      <c r="E16" s="163"/>
      <c r="F16" s="163"/>
      <c r="G16" s="3">
        <f>(D14/1000)*D15</f>
        <v>113749.03081960401</v>
      </c>
      <c r="H16" s="72"/>
      <c r="I16" s="54" t="s">
        <v>99</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100</v>
      </c>
      <c r="D19" s="57">
        <f>(C20*0.4)/D18</f>
        <v>475.03706637287928</v>
      </c>
      <c r="E19" s="163"/>
      <c r="F19" s="163"/>
      <c r="G19" s="3"/>
      <c r="H19" s="129" t="s">
        <v>101</v>
      </c>
      <c r="I19" s="57">
        <f>(H20*0.4)/I18</f>
        <v>551.4891178554559</v>
      </c>
      <c r="L19" s="3"/>
      <c r="M19" s="10"/>
      <c r="N19" s="122"/>
      <c r="O19" s="122"/>
    </row>
    <row r="20" spans="1:15">
      <c r="A20" s="163" t="s">
        <v>38</v>
      </c>
      <c r="B20" s="2" t="s">
        <v>47</v>
      </c>
      <c r="C20" s="39">
        <f>C18*(D$10-G42-G46-G48-G52-G56)-1443</f>
        <v>89069.449944914872</v>
      </c>
      <c r="D20" s="55" t="s">
        <v>102</v>
      </c>
      <c r="E20" s="163"/>
      <c r="F20" s="163"/>
      <c r="G20" s="3">
        <f>D18*D19</f>
        <v>35627.779977965947</v>
      </c>
      <c r="H20" s="39">
        <f>(H18*(I10-L37-L42-L50-L52))-1000</f>
        <v>100646.7640086207</v>
      </c>
      <c r="I20" s="55" t="s">
        <v>103</v>
      </c>
      <c r="L20" s="3">
        <f>+I19*I18</f>
        <v>40258.705603448281</v>
      </c>
      <c r="M20" s="10"/>
      <c r="N20" s="122"/>
      <c r="O20" s="122"/>
    </row>
    <row r="21" spans="1:15">
      <c r="A21" t="s">
        <v>18</v>
      </c>
      <c r="B21" s="2" t="s">
        <v>48</v>
      </c>
      <c r="C21" s="68" t="s">
        <v>104</v>
      </c>
      <c r="D21" s="56">
        <f>G5*H2</f>
        <v>5222126</v>
      </c>
      <c r="E21" s="163" t="s">
        <v>54</v>
      </c>
      <c r="F21" s="163"/>
      <c r="G21" s="2"/>
      <c r="H21" s="68" t="s">
        <v>105</v>
      </c>
      <c r="I21" s="130">
        <f>I5*H2</f>
        <v>3643738</v>
      </c>
      <c r="J21" s="131" t="s">
        <v>54</v>
      </c>
      <c r="L21" s="2"/>
      <c r="M21" s="163"/>
      <c r="N21" s="122"/>
      <c r="O21" s="122"/>
    </row>
    <row r="22" spans="1:15" ht="15">
      <c r="B22" s="2" t="s">
        <v>9</v>
      </c>
      <c r="C22" s="44" t="s">
        <v>37</v>
      </c>
      <c r="D22" s="57">
        <f>(C20*0.6)/(D21/1000)</f>
        <v>10.23369983162967</v>
      </c>
      <c r="E22" s="41" t="s">
        <v>106</v>
      </c>
      <c r="F22" s="163"/>
      <c r="G22" s="2"/>
      <c r="H22" s="72"/>
      <c r="I22" s="132">
        <f>(H20*0.6)/(I21*0.001)</f>
        <v>16.573106629832445</v>
      </c>
      <c r="J22" s="133" t="s">
        <v>107</v>
      </c>
      <c r="L22" s="2"/>
      <c r="M22" s="163"/>
      <c r="N22" s="122"/>
      <c r="O22" s="122"/>
    </row>
    <row r="23" spans="1:15">
      <c r="B23" s="2" t="s">
        <v>11</v>
      </c>
      <c r="C23" s="44"/>
      <c r="D23" s="55" t="s">
        <v>108</v>
      </c>
      <c r="E23" s="163"/>
      <c r="F23" s="163"/>
      <c r="G23" s="3">
        <f>(D21/1000)*D22</f>
        <v>53441.669966948924</v>
      </c>
      <c r="H23" s="72"/>
      <c r="I23" s="54" t="s">
        <v>109</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110</v>
      </c>
      <c r="D26" s="57">
        <f>(C27*0.5)/D25</f>
        <v>5803.9694434826406</v>
      </c>
      <c r="E26" s="163"/>
      <c r="F26" s="163"/>
      <c r="G26" s="3"/>
      <c r="H26" s="129" t="s">
        <v>111</v>
      </c>
      <c r="I26" s="57">
        <f>(H27*0.5)/I25</f>
        <v>4887.1878591954019</v>
      </c>
      <c r="J26" s="163"/>
      <c r="K26" s="163"/>
      <c r="L26" s="3"/>
      <c r="M26" s="10"/>
      <c r="N26" s="122"/>
      <c r="O26" s="122"/>
    </row>
    <row r="27" spans="1:15">
      <c r="A27" s="163" t="s">
        <v>38</v>
      </c>
      <c r="B27" s="2" t="s">
        <v>51</v>
      </c>
      <c r="C27" s="39">
        <f>(C25*(D$10-G42-G46-G48-G52-G56))</f>
        <v>34823.816660895842</v>
      </c>
      <c r="D27" s="55" t="s">
        <v>112</v>
      </c>
      <c r="E27" s="163"/>
      <c r="F27" s="163"/>
      <c r="G27" s="3">
        <f>+D26*D25</f>
        <v>17411.908330447921</v>
      </c>
      <c r="H27" s="40">
        <f>H25*(I10-L37-L42-L50-L52)</f>
        <v>29323.127155172413</v>
      </c>
      <c r="I27" s="55" t="s">
        <v>113</v>
      </c>
      <c r="J27" s="163"/>
      <c r="K27" s="163"/>
      <c r="L27" s="3">
        <f>+I26*I25</f>
        <v>14661.563577586207</v>
      </c>
      <c r="M27" s="10"/>
      <c r="N27" s="122"/>
      <c r="O27" s="122"/>
    </row>
    <row r="28" spans="1:15">
      <c r="A28" t="s">
        <v>12</v>
      </c>
      <c r="B28" s="2"/>
      <c r="C28" s="68" t="s">
        <v>114</v>
      </c>
      <c r="D28" s="56">
        <f>G6*H2</f>
        <v>1051148</v>
      </c>
      <c r="E28" s="163" t="s">
        <v>54</v>
      </c>
      <c r="F28" s="163"/>
      <c r="G28" s="2"/>
      <c r="H28" s="68" t="s">
        <v>115</v>
      </c>
      <c r="I28" s="62">
        <f>I6*H2</f>
        <v>1051148</v>
      </c>
      <c r="J28" s="163" t="s">
        <v>54</v>
      </c>
      <c r="K28" s="163"/>
      <c r="L28" s="2"/>
      <c r="M28" s="163"/>
      <c r="N28" s="122"/>
      <c r="O28" s="122"/>
    </row>
    <row r="29" spans="1:15" ht="15">
      <c r="B29" s="2" t="s">
        <v>9</v>
      </c>
      <c r="C29" s="16"/>
      <c r="D29" s="57">
        <f>(C27*0.5)/(D28/1000)</f>
        <v>16.564659144523819</v>
      </c>
      <c r="E29" s="41" t="s">
        <v>116</v>
      </c>
      <c r="F29" s="163"/>
      <c r="G29" s="2"/>
      <c r="H29" s="72"/>
      <c r="I29" s="57">
        <f>(H27*0.5)/(I28*0.001)</f>
        <v>13.94814391273751</v>
      </c>
      <c r="J29" s="41" t="s">
        <v>116</v>
      </c>
      <c r="K29" s="163"/>
      <c r="L29" s="2"/>
      <c r="M29" s="163"/>
      <c r="N29" s="122"/>
      <c r="O29" s="122"/>
    </row>
    <row r="30" spans="1:15">
      <c r="B30" s="2" t="s">
        <v>13</v>
      </c>
      <c r="C30" s="71"/>
      <c r="D30" s="55" t="s">
        <v>117</v>
      </c>
      <c r="E30" s="1"/>
      <c r="F30" s="1"/>
      <c r="G30" s="15">
        <f>+D28*0.001*D29</f>
        <v>17411.908330447921</v>
      </c>
      <c r="H30" s="74"/>
      <c r="I30" s="54" t="s">
        <v>118</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119</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120</v>
      </c>
      <c r="E40" s="163"/>
      <c r="F40" s="163"/>
      <c r="G40" s="3">
        <f>+D39*D38</f>
        <v>1190</v>
      </c>
      <c r="H40" s="2"/>
      <c r="I40" s="54" t="s">
        <v>121</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122</v>
      </c>
      <c r="B44" s="2"/>
      <c r="D44" s="34">
        <f>D14+D21+D28</f>
        <v>15566810</v>
      </c>
      <c r="E44" s="163" t="s">
        <v>16</v>
      </c>
      <c r="F44" s="163"/>
      <c r="G44" s="2"/>
      <c r="H44" s="2"/>
      <c r="I44" s="34">
        <f>I14+I21+I28</f>
        <v>13914432</v>
      </c>
      <c r="J44" t="s">
        <v>17</v>
      </c>
      <c r="L44" s="2"/>
      <c r="M44" s="163"/>
      <c r="N44" s="121"/>
      <c r="O44" s="121"/>
    </row>
    <row r="45" spans="1:15">
      <c r="C45" s="27"/>
      <c r="D45" s="41" t="s">
        <v>123</v>
      </c>
      <c r="H45" s="27"/>
      <c r="I45" s="54" t="s">
        <v>124</v>
      </c>
      <c r="K45" s="163"/>
      <c r="L45" s="2"/>
      <c r="M45" s="163"/>
      <c r="N45" s="121"/>
      <c r="O45" s="121"/>
    </row>
    <row r="46" spans="1:15">
      <c r="A46" s="117" t="s">
        <v>34</v>
      </c>
      <c r="C46" s="27"/>
      <c r="G46" s="119">
        <v>1500</v>
      </c>
      <c r="H46" s="27"/>
      <c r="K46" s="163"/>
      <c r="L46" s="127" t="s">
        <v>68</v>
      </c>
      <c r="M46" s="42"/>
      <c r="N46" s="121"/>
      <c r="O46" s="121"/>
    </row>
    <row r="47" spans="1:15">
      <c r="A47" s="120" t="s">
        <v>125</v>
      </c>
      <c r="C47" s="27"/>
      <c r="G47" s="54" t="s">
        <v>126</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127</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128</v>
      </c>
      <c r="M51" s="41"/>
      <c r="N51" s="121"/>
      <c r="O51" s="121"/>
    </row>
    <row r="52" spans="1:15">
      <c r="A52" s="117" t="s">
        <v>56</v>
      </c>
      <c r="B52" t="s">
        <v>81</v>
      </c>
      <c r="C52" s="27"/>
      <c r="G52" s="124">
        <v>0</v>
      </c>
      <c r="H52" s="27"/>
      <c r="K52" s="163"/>
      <c r="L52" s="125">
        <v>0</v>
      </c>
      <c r="M52" s="41"/>
      <c r="N52" s="121"/>
      <c r="O52" s="121"/>
    </row>
    <row r="53" spans="1:15">
      <c r="B53" t="s">
        <v>129</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130</v>
      </c>
      <c r="G71" s="145"/>
      <c r="I71" s="129" t="s">
        <v>131</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FY20 Draft</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2019-05-17T13:04:38Z</cp:lastPrinted>
  <dcterms:created xsi:type="dcterms:W3CDTF">2016-04-29T13:54:33Z</dcterms:created>
  <dcterms:modified xsi:type="dcterms:W3CDTF">2019-05-17T13:04:50Z</dcterms:modified>
</cp:coreProperties>
</file>