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70" yWindow="540" windowWidth="23040" windowHeight="8820"/>
  </bookViews>
  <sheets>
    <sheet name="FY21 Draft" sheetId="9" r:id="rId1"/>
    <sheet name="FY20 Final" sheetId="8" r:id="rId2"/>
    <sheet name="FY19 Final" sheetId="7" r:id="rId3"/>
  </sheets>
  <externalReferences>
    <externalReference r:id="rId4"/>
  </externalReferences>
  <calcPr calcId="145621"/>
</workbook>
</file>

<file path=xl/calcChain.xml><?xml version="1.0" encoding="utf-8"?>
<calcChain xmlns="http://schemas.openxmlformats.org/spreadsheetml/2006/main">
  <c r="J88" i="8" l="1"/>
  <c r="J87" i="8"/>
  <c r="D95" i="8"/>
  <c r="D92" i="8"/>
  <c r="D91" i="8"/>
  <c r="D88" i="8"/>
  <c r="D87" i="8"/>
  <c r="K31" i="8"/>
  <c r="K31" i="9"/>
  <c r="M31" i="9"/>
  <c r="L31" i="9"/>
  <c r="E68" i="9"/>
  <c r="E67" i="9"/>
  <c r="K27" i="9"/>
  <c r="K28" i="9" s="1"/>
  <c r="F131" i="9" l="1"/>
  <c r="F123" i="9"/>
  <c r="F116" i="9"/>
  <c r="F115" i="8"/>
  <c r="D115" i="8"/>
  <c r="F115" i="9" s="1"/>
  <c r="M28" i="9"/>
  <c r="M27" i="9"/>
  <c r="L27" i="9"/>
  <c r="E31" i="9"/>
  <c r="G31" i="9"/>
  <c r="F31" i="9"/>
  <c r="G96" i="9"/>
  <c r="G92" i="9"/>
  <c r="G87" i="9"/>
  <c r="F96" i="9"/>
  <c r="F95" i="9"/>
  <c r="F92" i="9"/>
  <c r="F91" i="9"/>
  <c r="F88" i="9"/>
  <c r="F87" i="9"/>
  <c r="F67" i="9"/>
  <c r="E77" i="9"/>
  <c r="C75" i="8"/>
  <c r="F69" i="9"/>
  <c r="F68" i="9"/>
  <c r="C61" i="9"/>
  <c r="D56" i="9"/>
  <c r="D67" i="9"/>
  <c r="K68" i="9"/>
  <c r="J69" i="9"/>
  <c r="J68" i="9"/>
  <c r="E56" i="9"/>
  <c r="F9" i="9" l="1"/>
  <c r="F70" i="9"/>
  <c r="G61" i="9"/>
  <c r="H61" i="9" s="1"/>
  <c r="E61" i="9"/>
  <c r="I58" i="9"/>
  <c r="E58" i="9"/>
  <c r="I57" i="9"/>
  <c r="E57" i="9"/>
  <c r="I56" i="9"/>
  <c r="K45" i="9"/>
  <c r="E45" i="9"/>
  <c r="M45" i="9"/>
  <c r="G45" i="9"/>
  <c r="M32" i="9"/>
  <c r="M47" i="9" s="1"/>
  <c r="E32" i="9"/>
  <c r="N31" i="9"/>
  <c r="O31" i="9" s="1"/>
  <c r="K32" i="9"/>
  <c r="G32" i="9"/>
  <c r="G47" i="9" s="1"/>
  <c r="G48" i="9" s="1"/>
  <c r="E75" i="9" s="1"/>
  <c r="H31" i="9"/>
  <c r="I31" i="9" s="1"/>
  <c r="N27" i="9"/>
  <c r="O27" i="9" s="1"/>
  <c r="E11" i="9"/>
  <c r="E12" i="9" s="1"/>
  <c r="D11" i="9"/>
  <c r="D12" i="9" s="1"/>
  <c r="F10" i="9"/>
  <c r="E47" i="9" l="1"/>
  <c r="E48" i="9" s="1"/>
  <c r="C75" i="9" s="1"/>
  <c r="K47" i="9"/>
  <c r="K48" i="9" s="1"/>
  <c r="D58" i="9"/>
  <c r="E69" i="9" s="1"/>
  <c r="D57" i="9"/>
  <c r="J70" i="9"/>
  <c r="K69" i="9" s="1"/>
  <c r="D68" i="9" s="1"/>
  <c r="I61" i="9"/>
  <c r="H56" i="9"/>
  <c r="H57" i="9"/>
  <c r="H58" i="9"/>
  <c r="F11" i="9"/>
  <c r="F12" i="9" s="1"/>
  <c r="M29" i="9"/>
  <c r="M48" i="9" s="1"/>
  <c r="F75" i="9" s="1"/>
  <c r="K29" i="8"/>
  <c r="K27" i="8"/>
  <c r="C77" i="9" l="1"/>
  <c r="C79" i="9"/>
  <c r="D96" i="9" s="1"/>
  <c r="C78" i="9"/>
  <c r="D92" i="9" s="1"/>
  <c r="D75" i="9"/>
  <c r="D77" i="9" s="1"/>
  <c r="D61" i="9"/>
  <c r="K45" i="8"/>
  <c r="E45" i="8"/>
  <c r="D95" i="9" l="1"/>
  <c r="H95" i="9" s="1"/>
  <c r="I95" i="9" s="1"/>
  <c r="J88" i="9"/>
  <c r="E115" i="9" s="1"/>
  <c r="D78" i="9"/>
  <c r="D79" i="9"/>
  <c r="D91" i="9"/>
  <c r="F20" i="9" s="1"/>
  <c r="E95" i="9"/>
  <c r="H92" i="9"/>
  <c r="I92" i="9" s="1"/>
  <c r="E92" i="9"/>
  <c r="D123" i="9"/>
  <c r="H96" i="9"/>
  <c r="I96" i="9" s="1"/>
  <c r="E96" i="9"/>
  <c r="D131" i="9"/>
  <c r="J69" i="8"/>
  <c r="J68" i="8"/>
  <c r="D132" i="9" l="1"/>
  <c r="E91" i="9"/>
  <c r="E93" i="9" s="1"/>
  <c r="K88" i="9"/>
  <c r="J96" i="9"/>
  <c r="J95" i="9"/>
  <c r="J92" i="9"/>
  <c r="J91" i="9"/>
  <c r="F21" i="9" s="1"/>
  <c r="J87" i="9"/>
  <c r="K87" i="9" s="1"/>
  <c r="D133" i="9"/>
  <c r="E70" i="9"/>
  <c r="D88" i="9"/>
  <c r="D115" i="9" s="1"/>
  <c r="D124" i="9"/>
  <c r="D125" i="9" s="1"/>
  <c r="H91" i="9"/>
  <c r="I91" i="9" s="1"/>
  <c r="E97" i="9"/>
  <c r="J70" i="8"/>
  <c r="K69" i="8" s="1"/>
  <c r="D68" i="8" s="1"/>
  <c r="M43" i="8"/>
  <c r="G43" i="8"/>
  <c r="M42" i="8"/>
  <c r="G42" i="8"/>
  <c r="M41" i="8"/>
  <c r="G41" i="8"/>
  <c r="M40" i="8"/>
  <c r="G40" i="8"/>
  <c r="M39" i="8"/>
  <c r="G38" i="8"/>
  <c r="G37" i="8"/>
  <c r="L31" i="8"/>
  <c r="N31" i="8" s="1"/>
  <c r="O31" i="8" s="1"/>
  <c r="K32" i="8"/>
  <c r="K47" i="8" s="1"/>
  <c r="K48" i="8" s="1"/>
  <c r="D75" i="8" s="1"/>
  <c r="F31" i="8"/>
  <c r="H31" i="8" s="1"/>
  <c r="I31" i="8" s="1"/>
  <c r="E31" i="8"/>
  <c r="E32" i="8" s="1"/>
  <c r="E47" i="8" s="1"/>
  <c r="E48" i="8" s="1"/>
  <c r="M28" i="8"/>
  <c r="M27" i="8"/>
  <c r="L27" i="8"/>
  <c r="N27" i="8" s="1"/>
  <c r="G61" i="8"/>
  <c r="H61" i="8" s="1"/>
  <c r="C61" i="8"/>
  <c r="E61" i="8" s="1"/>
  <c r="I58" i="8"/>
  <c r="E58" i="8"/>
  <c r="I57" i="8"/>
  <c r="E57" i="8"/>
  <c r="I56" i="8"/>
  <c r="E56" i="8"/>
  <c r="E11" i="8"/>
  <c r="E12" i="8" s="1"/>
  <c r="D11" i="8"/>
  <c r="D12" i="8" s="1"/>
  <c r="F10" i="8"/>
  <c r="F9" i="8"/>
  <c r="K89" i="9" l="1"/>
  <c r="K92" i="9"/>
  <c r="E123" i="9"/>
  <c r="K95" i="9"/>
  <c r="E132" i="9"/>
  <c r="E116" i="9"/>
  <c r="E117" i="9" s="1"/>
  <c r="K96" i="9"/>
  <c r="E131" i="9"/>
  <c r="E124" i="9"/>
  <c r="K91" i="9"/>
  <c r="F19" i="9"/>
  <c r="E88" i="9"/>
  <c r="G104" i="9" s="1"/>
  <c r="H88" i="9"/>
  <c r="I88" i="9" s="1"/>
  <c r="D87" i="9"/>
  <c r="D116" i="9" s="1"/>
  <c r="D117" i="9" s="1"/>
  <c r="D56" i="8"/>
  <c r="K68" i="8"/>
  <c r="D67" i="8" s="1"/>
  <c r="M29" i="8"/>
  <c r="D57" i="8"/>
  <c r="M45" i="8"/>
  <c r="F11" i="8"/>
  <c r="F12" i="8" s="1"/>
  <c r="G45" i="8"/>
  <c r="D58" i="8"/>
  <c r="E69" i="8" s="1"/>
  <c r="H58" i="8"/>
  <c r="H57" i="8"/>
  <c r="H56" i="8"/>
  <c r="I61" i="8"/>
  <c r="E133" i="9" l="1"/>
  <c r="D134" i="9" s="1"/>
  <c r="H103" i="9"/>
  <c r="H108" i="9" s="1"/>
  <c r="H104" i="9"/>
  <c r="K93" i="9"/>
  <c r="E125" i="9"/>
  <c r="D126" i="9" s="1"/>
  <c r="D127" i="9" s="1"/>
  <c r="K97" i="9"/>
  <c r="H87" i="9"/>
  <c r="I87" i="9" s="1"/>
  <c r="E87" i="9"/>
  <c r="G103" i="9" s="1"/>
  <c r="G108" i="9" s="1"/>
  <c r="D118" i="9"/>
  <c r="D119" i="9" s="1"/>
  <c r="E67" i="8"/>
  <c r="D61" i="8"/>
  <c r="E68" i="8"/>
  <c r="G105" i="9" l="1"/>
  <c r="G106" i="9" s="1"/>
  <c r="E89" i="9"/>
  <c r="H105" i="9"/>
  <c r="H106" i="9" s="1"/>
  <c r="C79" i="8"/>
  <c r="C78" i="8"/>
  <c r="C77" i="8"/>
  <c r="E70" i="8"/>
  <c r="E79" i="9" l="1"/>
  <c r="D116" i="8"/>
  <c r="F20" i="8"/>
  <c r="E78" i="9"/>
  <c r="E92" i="8"/>
  <c r="E91" i="8"/>
  <c r="G91" i="9" s="1"/>
  <c r="G93" i="9" s="1"/>
  <c r="D132" i="8"/>
  <c r="F132" i="9" s="1"/>
  <c r="E87" i="8"/>
  <c r="E95" i="8"/>
  <c r="G95" i="9" s="1"/>
  <c r="G97" i="9" s="1"/>
  <c r="D96" i="8"/>
  <c r="D124" i="8" l="1"/>
  <c r="F124" i="9" s="1"/>
  <c r="E93" i="8"/>
  <c r="D123" i="8"/>
  <c r="G103" i="8"/>
  <c r="G108" i="8" s="1"/>
  <c r="D117" i="8"/>
  <c r="F117" i="9" s="1"/>
  <c r="E88" i="8"/>
  <c r="E96" i="8"/>
  <c r="D131" i="8"/>
  <c r="D133" i="8" s="1"/>
  <c r="F133" i="9" s="1"/>
  <c r="E89" i="8" l="1"/>
  <c r="G88" i="9"/>
  <c r="G89" i="9" s="1"/>
  <c r="D125" i="8"/>
  <c r="F125" i="9" s="1"/>
  <c r="E97" i="8"/>
  <c r="G104" i="8"/>
  <c r="G105" i="8" s="1"/>
  <c r="I70" i="7"/>
  <c r="I69" i="7" s="1"/>
  <c r="D70" i="7"/>
  <c r="D69" i="7" s="1"/>
  <c r="L40" i="7"/>
  <c r="M31" i="8" s="1"/>
  <c r="M32" i="8" s="1"/>
  <c r="M47" i="8" s="1"/>
  <c r="G40" i="7"/>
  <c r="G31" i="8" s="1"/>
  <c r="G32" i="8" s="1"/>
  <c r="G47" i="8" s="1"/>
  <c r="L37" i="7"/>
  <c r="I28" i="7"/>
  <c r="D28" i="7"/>
  <c r="I21" i="7"/>
  <c r="D21" i="7"/>
  <c r="I14" i="7"/>
  <c r="D14" i="7"/>
  <c r="I7" i="7"/>
  <c r="J6" i="7" s="1"/>
  <c r="H25" i="7" s="1"/>
  <c r="G7" i="7"/>
  <c r="H6" i="7" s="1"/>
  <c r="C25" i="7" s="1"/>
  <c r="F69" i="8" s="1"/>
  <c r="N5" i="7"/>
  <c r="N6" i="7" s="1"/>
  <c r="L5" i="7"/>
  <c r="L6" i="7" s="1"/>
  <c r="H5" i="7"/>
  <c r="C18" i="7" s="1"/>
  <c r="F68" i="8" s="1"/>
  <c r="O4" i="7"/>
  <c r="O3" i="7"/>
  <c r="M48" i="8" l="1"/>
  <c r="F75" i="8" s="1"/>
  <c r="G48" i="8"/>
  <c r="E75" i="8" s="1"/>
  <c r="D44" i="7"/>
  <c r="I44" i="7"/>
  <c r="G42" i="7"/>
  <c r="C20" i="7" s="1"/>
  <c r="L42" i="7"/>
  <c r="O5" i="7"/>
  <c r="O6" i="7" s="1"/>
  <c r="H4" i="7"/>
  <c r="J5" i="7"/>
  <c r="H18" i="7" s="1"/>
  <c r="J7" i="7"/>
  <c r="J4" i="7"/>
  <c r="H11" i="7" s="1"/>
  <c r="D19" i="7" l="1"/>
  <c r="F91" i="8" s="1"/>
  <c r="D22" i="7"/>
  <c r="H20" i="7"/>
  <c r="G20" i="7"/>
  <c r="G91" i="8" s="1"/>
  <c r="C27" i="7"/>
  <c r="H13" i="7"/>
  <c r="I12" i="7" s="1"/>
  <c r="L87" i="8" s="1"/>
  <c r="G116" i="8" s="1"/>
  <c r="H27" i="7"/>
  <c r="C11" i="7"/>
  <c r="F67" i="8" s="1"/>
  <c r="F70" i="8" s="1"/>
  <c r="H7" i="7"/>
  <c r="I22" i="7"/>
  <c r="I19" i="7"/>
  <c r="L91" i="8" s="1"/>
  <c r="G124" i="8" s="1"/>
  <c r="L92" i="8" l="1"/>
  <c r="G123" i="8"/>
  <c r="G125" i="8" s="1"/>
  <c r="F92" i="8"/>
  <c r="H92" i="8" s="1"/>
  <c r="I92" i="8" s="1"/>
  <c r="F123" i="8"/>
  <c r="G23" i="7"/>
  <c r="G92" i="8" s="1"/>
  <c r="G93" i="8" s="1"/>
  <c r="F124" i="8"/>
  <c r="H91" i="8"/>
  <c r="I91" i="8" s="1"/>
  <c r="I15" i="7"/>
  <c r="I26" i="7"/>
  <c r="L95" i="8" s="1"/>
  <c r="G132" i="8" s="1"/>
  <c r="I29" i="7"/>
  <c r="D29" i="7"/>
  <c r="D26" i="7"/>
  <c r="F95" i="8" s="1"/>
  <c r="C13" i="7"/>
  <c r="L20" i="7"/>
  <c r="M91" i="8" s="1"/>
  <c r="M93" i="8" s="1"/>
  <c r="L13" i="7"/>
  <c r="M87" i="8" s="1"/>
  <c r="M89" i="8" s="1"/>
  <c r="L23" i="7"/>
  <c r="M92" i="8" s="1"/>
  <c r="L16" i="7"/>
  <c r="M88" i="8" s="1"/>
  <c r="C8" i="7"/>
  <c r="F125" i="8" l="1"/>
  <c r="F126" i="8" s="1"/>
  <c r="L96" i="8"/>
  <c r="G131" i="8"/>
  <c r="G133" i="8" s="1"/>
  <c r="L17" i="7"/>
  <c r="F77" i="8" s="1"/>
  <c r="F132" i="8"/>
  <c r="H95" i="8"/>
  <c r="I95" i="8" s="1"/>
  <c r="L88" i="8"/>
  <c r="G115" i="8"/>
  <c r="G117" i="8" s="1"/>
  <c r="G24" i="7"/>
  <c r="F96" i="8"/>
  <c r="H96" i="8" s="1"/>
  <c r="I96" i="8" s="1"/>
  <c r="F131" i="8"/>
  <c r="G27" i="7"/>
  <c r="G95" i="8" s="1"/>
  <c r="G30" i="7"/>
  <c r="G96" i="8" s="1"/>
  <c r="L30" i="7"/>
  <c r="M96" i="8" s="1"/>
  <c r="L27" i="7"/>
  <c r="M95" i="8" s="1"/>
  <c r="M97" i="8" s="1"/>
  <c r="L24" i="7"/>
  <c r="F78" i="8" s="1"/>
  <c r="L70" i="7"/>
  <c r="J17" i="7"/>
  <c r="I17" i="7" s="1"/>
  <c r="D15" i="7"/>
  <c r="D12" i="7"/>
  <c r="F87" i="8" s="1"/>
  <c r="F88" i="8" l="1"/>
  <c r="H88" i="8" s="1"/>
  <c r="I88" i="8" s="1"/>
  <c r="E78" i="8"/>
  <c r="E24" i="7"/>
  <c r="D24" i="7" s="1"/>
  <c r="F24" i="7"/>
  <c r="G97" i="8"/>
  <c r="K17" i="7"/>
  <c r="F133" i="8"/>
  <c r="F134" i="8" s="1"/>
  <c r="F116" i="8"/>
  <c r="F117" i="8" s="1"/>
  <c r="F118" i="8" s="1"/>
  <c r="H87" i="8"/>
  <c r="I87" i="8" s="1"/>
  <c r="L65" i="7"/>
  <c r="J66" i="7" s="1"/>
  <c r="L31" i="7"/>
  <c r="F79" i="8" s="1"/>
  <c r="L66" i="7"/>
  <c r="L69" i="7"/>
  <c r="G31" i="7"/>
  <c r="E79" i="8" s="1"/>
  <c r="G13" i="7"/>
  <c r="G87" i="8" s="1"/>
  <c r="G89" i="8" s="1"/>
  <c r="G16" i="7"/>
  <c r="G88" i="8" s="1"/>
  <c r="J24" i="7"/>
  <c r="I24" i="7" s="1"/>
  <c r="K24" i="7"/>
  <c r="G68" i="7"/>
  <c r="G67" i="7"/>
  <c r="G63" i="7" l="1"/>
  <c r="E64" i="7" s="1"/>
  <c r="G64" i="7"/>
  <c r="F31" i="7"/>
  <c r="E31" i="7"/>
  <c r="D31" i="7" s="1"/>
  <c r="K31" i="7"/>
  <c r="J31" i="7"/>
  <c r="I31" i="7" s="1"/>
  <c r="L43" i="7"/>
  <c r="L61" i="7" s="1"/>
  <c r="L72" i="7" s="1"/>
  <c r="I73" i="7" s="1"/>
  <c r="I74" i="7" s="1"/>
  <c r="G17" i="7"/>
  <c r="E77" i="8" s="1"/>
  <c r="G43" i="7" l="1"/>
  <c r="G61" i="7" s="1"/>
  <c r="G72" i="7" s="1"/>
  <c r="D73" i="7" s="1"/>
  <c r="D74" i="7" s="1"/>
  <c r="F17" i="7"/>
  <c r="E17" i="7"/>
  <c r="D17" i="7" s="1"/>
  <c r="O27" i="8" l="1"/>
  <c r="D77" i="8" l="1"/>
  <c r="D79" i="8"/>
  <c r="D78" i="8"/>
  <c r="J92" i="8" l="1"/>
  <c r="L92" i="9" s="1"/>
  <c r="N92" i="9" s="1"/>
  <c r="O92" i="9" s="1"/>
  <c r="F78" i="9"/>
  <c r="J96" i="8"/>
  <c r="L96" i="9" s="1"/>
  <c r="N96" i="9" s="1"/>
  <c r="O96" i="9" s="1"/>
  <c r="F79" i="9"/>
  <c r="L88" i="9"/>
  <c r="N88" i="9" s="1"/>
  <c r="O88" i="9" s="1"/>
  <c r="F77" i="9"/>
  <c r="J95" i="8"/>
  <c r="J91" i="8"/>
  <c r="E115" i="8"/>
  <c r="G115" i="9" s="1"/>
  <c r="E131" i="8"/>
  <c r="G131" i="9" s="1"/>
  <c r="K96" i="8"/>
  <c r="M96" i="9" s="1"/>
  <c r="N96" i="8"/>
  <c r="O96" i="8" s="1"/>
  <c r="E123" i="8"/>
  <c r="G123" i="9" s="1"/>
  <c r="N92" i="8"/>
  <c r="O92" i="8" s="1"/>
  <c r="N87" i="8"/>
  <c r="O87" i="8" s="1"/>
  <c r="F19" i="8" l="1"/>
  <c r="L91" i="9"/>
  <c r="N91" i="9" s="1"/>
  <c r="O91" i="9" s="1"/>
  <c r="K92" i="8"/>
  <c r="M92" i="9" s="1"/>
  <c r="K88" i="8"/>
  <c r="M88" i="9" s="1"/>
  <c r="K95" i="8"/>
  <c r="M95" i="9" s="1"/>
  <c r="M97" i="9" s="1"/>
  <c r="L95" i="9"/>
  <c r="N95" i="9" s="1"/>
  <c r="O95" i="9" s="1"/>
  <c r="N88" i="8"/>
  <c r="O88" i="8" s="1"/>
  <c r="E116" i="8"/>
  <c r="G116" i="9" s="1"/>
  <c r="L87" i="9"/>
  <c r="N87" i="9" s="1"/>
  <c r="O87" i="9" s="1"/>
  <c r="K87" i="8"/>
  <c r="N95" i="8"/>
  <c r="O95" i="8" s="1"/>
  <c r="F21" i="8"/>
  <c r="N91" i="8"/>
  <c r="O91" i="8" s="1"/>
  <c r="E132" i="8"/>
  <c r="E124" i="8"/>
  <c r="K91" i="8"/>
  <c r="E117" i="8"/>
  <c r="K97" i="8"/>
  <c r="H104" i="8" l="1"/>
  <c r="E125" i="8"/>
  <c r="G124" i="9"/>
  <c r="E133" i="8"/>
  <c r="G132" i="9"/>
  <c r="K89" i="8"/>
  <c r="M87" i="9"/>
  <c r="M89" i="9" s="1"/>
  <c r="D118" i="8"/>
  <c r="F118" i="9" s="1"/>
  <c r="D120" i="9" s="1"/>
  <c r="G117" i="9"/>
  <c r="K93" i="8"/>
  <c r="M91" i="9"/>
  <c r="M93" i="9" s="1"/>
  <c r="D119" i="8"/>
  <c r="D120" i="8" s="1"/>
  <c r="H103" i="8"/>
  <c r="H105" i="8" s="1"/>
  <c r="D126" i="8" l="1"/>
  <c r="G125" i="9"/>
  <c r="D134" i="8"/>
  <c r="G133" i="9"/>
  <c r="H108" i="8"/>
  <c r="D135" i="8" l="1"/>
  <c r="D136" i="8" s="1"/>
  <c r="F134" i="9"/>
  <c r="D135" i="9" s="1"/>
  <c r="D136" i="9" s="1"/>
  <c r="D127" i="8"/>
  <c r="D128" i="8" s="1"/>
  <c r="F126" i="9"/>
  <c r="D128" i="9" s="1"/>
</calcChain>
</file>

<file path=xl/sharedStrings.xml><?xml version="1.0" encoding="utf-8"?>
<sst xmlns="http://schemas.openxmlformats.org/spreadsheetml/2006/main" count="532" uniqueCount="212">
  <si>
    <t>Billable by class</t>
  </si>
  <si>
    <t>% of</t>
  </si>
  <si>
    <t>Water</t>
  </si>
  <si>
    <t>Wastewater</t>
  </si>
  <si>
    <t>usage</t>
  </si>
  <si>
    <t>units</t>
  </si>
  <si>
    <t>Base Rate account/year</t>
  </si>
  <si>
    <t>Annual Fixed Revenue Generated</t>
  </si>
  <si>
    <t>Total residential metered W/WW sold</t>
  </si>
  <si>
    <t>User rate per 1000 gallons</t>
  </si>
  <si>
    <t>Annual Res.usage revenue generated</t>
  </si>
  <si>
    <t>Annual C.&amp; G. usage revenue generated</t>
  </si>
  <si>
    <t>Total School metered W/WW sold</t>
  </si>
  <si>
    <t>Annual School usage revenue generated</t>
  </si>
  <si>
    <t>Industry</t>
  </si>
  <si>
    <t>Annual Industry usage revenue generated</t>
  </si>
  <si>
    <t>water</t>
  </si>
  <si>
    <t>wastewater</t>
  </si>
  <si>
    <t>Total C.&amp; G. metered W/WW sold</t>
  </si>
  <si>
    <t>Allocated accounts</t>
  </si>
  <si>
    <t>unit</t>
  </si>
  <si>
    <t>Hook-on fees</t>
  </si>
  <si>
    <t xml:space="preserve"> Miscellaneous Fees</t>
  </si>
  <si>
    <t>Interest on investments</t>
  </si>
  <si>
    <t>Grand Total Revenues FY17</t>
  </si>
  <si>
    <t>Total Annual Revenue generated through User Rates:</t>
  </si>
  <si>
    <t>Sewer</t>
  </si>
  <si>
    <t>From rates</t>
  </si>
  <si>
    <t>***Fee based on 1/2 of C &amp; G ***</t>
  </si>
  <si>
    <t>Septage Revenue (est)</t>
  </si>
  <si>
    <t>Fixed costs generated Water</t>
  </si>
  <si>
    <t xml:space="preserve">Fixed costs generated Wastewater </t>
  </si>
  <si>
    <t xml:space="preserve">Variable costs generated Water </t>
  </si>
  <si>
    <t xml:space="preserve">Variable costs generated Wastewater </t>
  </si>
  <si>
    <t xml:space="preserve">Sale of water </t>
  </si>
  <si>
    <t>budget</t>
  </si>
  <si>
    <t>est. revenue</t>
  </si>
  <si>
    <t xml:space="preserve"> </t>
  </si>
  <si>
    <t xml:space="preserve">Annual Fixed Revenue Generated </t>
  </si>
  <si>
    <t>res</t>
  </si>
  <si>
    <t>school</t>
  </si>
  <si>
    <t>total</t>
  </si>
  <si>
    <t>Commercial and Govt</t>
  </si>
  <si>
    <t>Residential</t>
  </si>
  <si>
    <t>Schools</t>
  </si>
  <si>
    <t xml:space="preserve">Rate Structure and Estimated Budget Revenue </t>
  </si>
  <si>
    <t xml:space="preserve">Richmond Water and Sewer Commission </t>
  </si>
  <si>
    <t>app. 40% of class revenues</t>
  </si>
  <si>
    <t>app. 60% of class revenues</t>
  </si>
  <si>
    <t>app. 30% of class revenues</t>
  </si>
  <si>
    <t>app. 70% of class revenues</t>
  </si>
  <si>
    <t>app. 50% of class revenues</t>
  </si>
  <si>
    <t>% use in past 4 quarters</t>
  </si>
  <si>
    <t>G+C</t>
  </si>
  <si>
    <t xml:space="preserve">est. gallons </t>
  </si>
  <si>
    <t>future use adjustment</t>
  </si>
  <si>
    <t>est Creamery Revenue</t>
  </si>
  <si>
    <t>est. Gateway Revenue</t>
  </si>
  <si>
    <t xml:space="preserve">Notes: </t>
  </si>
  <si>
    <t>Each class of user will pay close to the class % of total usage; calculated separately for W and WW</t>
  </si>
  <si>
    <t>Class % use of W and WW is likely to change due to changes in usage and possible growth (Creamery, Gateway) and thus will be reviewed/revised annually</t>
  </si>
  <si>
    <t xml:space="preserve">Forecast of future gallons is based on the gallons by class in the most recent complete year but is also influenced by other factors eg trends of usage or anticipated new users </t>
  </si>
  <si>
    <t>Other principles include:</t>
  </si>
  <si>
    <t>Rate stability is generally desirable, thus:</t>
  </si>
  <si>
    <t xml:space="preserve">   Revenues somewhat lower than expected (eg in water sales and septage revenues) may reduce investments in reserve funds - rather than rate increases</t>
  </si>
  <si>
    <t xml:space="preserve">   Revenues somewhat higher than expected may be used to make capital purchases, pay down debt, or increase reserve funds - rather than rate decreases</t>
  </si>
  <si>
    <t xml:space="preserve">Note: FY17 septage revenue somewhat lower than budgeted  </t>
  </si>
  <si>
    <t>WW</t>
  </si>
  <si>
    <t>na</t>
  </si>
  <si>
    <t>W</t>
  </si>
  <si>
    <t>TOTAL</t>
  </si>
  <si>
    <t>5.85% actual plus 4% (app $13k) added  for  fire protection $ in lieu of taxes</t>
  </si>
  <si>
    <t>Fixed revenues approximately equal to cpaital expenses</t>
  </si>
  <si>
    <t>WW capital budget</t>
  </si>
  <si>
    <t>W capital budget</t>
  </si>
  <si>
    <t>actual water % minus 1.5% to offset chool fire $</t>
  </si>
  <si>
    <t>actual water % minus 2.5% to offset school fire $</t>
  </si>
  <si>
    <t>**separate bill estimate**</t>
  </si>
  <si>
    <t>$ +</t>
  </si>
  <si>
    <t>% +</t>
  </si>
  <si>
    <t>Town Fire Protection/Tank Fee (5% water budget + % tank bond)</t>
  </si>
  <si>
    <t>have increased account totals above</t>
  </si>
  <si>
    <t>18-19</t>
  </si>
  <si>
    <t>2019 budget</t>
  </si>
  <si>
    <t>Billed 4/1/19 - 3/31/20</t>
  </si>
  <si>
    <t>FY2019 Final Rate</t>
  </si>
  <si>
    <t>17-18</t>
  </si>
  <si>
    <t>Billed 4/1/18 - 3/31/19</t>
  </si>
  <si>
    <t>2018 approved June 4, 2018</t>
  </si>
  <si>
    <t>(FY18 56.77)</t>
  </si>
  <si>
    <t>(FY18 66.85)</t>
  </si>
  <si>
    <t>(FY18 $139.92)</t>
  </si>
  <si>
    <t>(FY18 $198.48)</t>
  </si>
  <si>
    <t>(FY18 166,671)</t>
  </si>
  <si>
    <t>(FY18  266,622)</t>
  </si>
  <si>
    <t>(FY18 9,976,400)</t>
  </si>
  <si>
    <t>(FY18 9,782,164)</t>
  </si>
  <si>
    <t>(FY18 $11.03)</t>
  </si>
  <si>
    <t>(FY18 $19.08)</t>
  </si>
  <si>
    <t>(FY18 32.38)</t>
  </si>
  <si>
    <t>(FY18 26.37)</t>
  </si>
  <si>
    <t>(FY18 $469.81)</t>
  </si>
  <si>
    <t>(FY18 $541.20)</t>
  </si>
  <si>
    <t>(FY18 92,788)</t>
  </si>
  <si>
    <t>(FY18  104,182)</t>
  </si>
  <si>
    <t>(FY18 6,004,852)</t>
  </si>
  <si>
    <t>(FY18 3,859,044)</t>
  </si>
  <si>
    <t>(FY18 $9.27)</t>
  </si>
  <si>
    <t>(FY18 $16.20)</t>
  </si>
  <si>
    <t>(FY18 10.85)</t>
  </si>
  <si>
    <t>(FY18 6.78)</t>
  </si>
  <si>
    <t>(FY18 $5262.70)</t>
  </si>
  <si>
    <t>(FY18 $4510.13)</t>
  </si>
  <si>
    <t>(FY18 31,576)</t>
  </si>
  <si>
    <t>(FY18 27,061)</t>
  </si>
  <si>
    <t>(FY18 992,838)</t>
  </si>
  <si>
    <t>(FY18 $15.90)</t>
  </si>
  <si>
    <t>(FY18 $13.63)</t>
  </si>
  <si>
    <t>(FY18 $225)</t>
  </si>
  <si>
    <t>(FY18 $210)</t>
  </si>
  <si>
    <t>(FY18 $280)</t>
  </si>
  <si>
    <t>Total gallons W/WW usage rate(s) are % of 4/1/15 - 3/31/16 actuals:</t>
  </si>
  <si>
    <t>(FY18 16,974,090)</t>
  </si>
  <si>
    <t>(FY18 14,634,046)</t>
  </si>
  <si>
    <t xml:space="preserve">Note: FY18 water sales moderately higher than budgeted  </t>
  </si>
  <si>
    <t>(FY18 $1500)</t>
  </si>
  <si>
    <t>(FY18 $32,796)</t>
  </si>
  <si>
    <t>(FY18 $180,000)</t>
  </si>
  <si>
    <t>by 10 res units and 1 comm unit</t>
  </si>
  <si>
    <t>(FY18 $327,104)</t>
  </si>
  <si>
    <t>(FY18 $583,270)</t>
  </si>
  <si>
    <t>Budget</t>
  </si>
  <si>
    <t>Commercial &amp; Government</t>
  </si>
  <si>
    <t>School</t>
  </si>
  <si>
    <t>FY19</t>
  </si>
  <si>
    <t>FY20</t>
  </si>
  <si>
    <t>Combined</t>
  </si>
  <si>
    <t>Total Change FY19/FY20</t>
  </si>
  <si>
    <t>Percent Change FY19/FY20</t>
  </si>
  <si>
    <t>Percentage of use in past 4 quarters</t>
  </si>
  <si>
    <t>Gallons</t>
  </si>
  <si>
    <t>Percentage</t>
  </si>
  <si>
    <t>Total</t>
  </si>
  <si>
    <t>Budget Allocations Per Core User Group</t>
  </si>
  <si>
    <t>Rates for Core User Groups</t>
  </si>
  <si>
    <t>Fixed Rate</t>
  </si>
  <si>
    <t>Percent of Rev.</t>
  </si>
  <si>
    <t>Metered</t>
  </si>
  <si>
    <t>Users</t>
  </si>
  <si>
    <t>FY19 Revenue</t>
  </si>
  <si>
    <t>Fixed per unit. Metered per 1000 gal.</t>
  </si>
  <si>
    <t>Revenue</t>
  </si>
  <si>
    <t xml:space="preserve">FY19  </t>
  </si>
  <si>
    <t>Change FY19 to FY20</t>
  </si>
  <si>
    <t xml:space="preserve">Dollar Difference </t>
  </si>
  <si>
    <t>Percentage Difference</t>
  </si>
  <si>
    <t>Adjustment</t>
  </si>
  <si>
    <t>Percentage of use Adjustments for Water Rates to offset for fire protection allocation to school</t>
  </si>
  <si>
    <t>Metered/Industry Usage</t>
  </si>
  <si>
    <t>Allocated Accounts</t>
  </si>
  <si>
    <t>Total Rev.</t>
  </si>
  <si>
    <t>Sale of Water</t>
  </si>
  <si>
    <t>Fire Protection/Tank Fee</t>
  </si>
  <si>
    <t>Hook-on Fees</t>
  </si>
  <si>
    <t>Interest on Investments</t>
  </si>
  <si>
    <t>Total Other Revenue</t>
  </si>
  <si>
    <t>Adjusted FY20</t>
  </si>
  <si>
    <t>Adjusted FY19</t>
  </si>
  <si>
    <t>Revenue Analysis</t>
  </si>
  <si>
    <t>Capital Budget</t>
  </si>
  <si>
    <t>Percent Fixed Fees above or below capital budget</t>
  </si>
  <si>
    <t>Revenue Through Variable Fees (Water: rates, sale of water Sewer: rates, 50% septage)</t>
  </si>
  <si>
    <t>Future Use Adjustment as Percentage of Gallons</t>
  </si>
  <si>
    <t>Revenue Through Fixed Fees (Water: rates, fire, hook-on, int. Sewer: rates, 50% septage, hook-on, int.)</t>
  </si>
  <si>
    <t>Sample Rate Changes</t>
  </si>
  <si>
    <t>Fixed</t>
  </si>
  <si>
    <t>Total Combined</t>
  </si>
  <si>
    <t>Total Combined Dollar Change</t>
  </si>
  <si>
    <t>Total Combined Percentage Change</t>
  </si>
  <si>
    <t>Non-User Group Revenue</t>
  </si>
  <si>
    <t>Septage Revenue</t>
  </si>
  <si>
    <t>Gateway Revenue</t>
  </si>
  <si>
    <t>Miscellaneous Fees</t>
  </si>
  <si>
    <t xml:space="preserve">Formula for determining split of 5 percentage points between  </t>
  </si>
  <si>
    <t>Residential and Commercial &amp; Government</t>
  </si>
  <si>
    <t>Based on percent of water used by each</t>
  </si>
  <si>
    <t>Gallons Used</t>
  </si>
  <si>
    <t>Percentage of Use</t>
  </si>
  <si>
    <t>Non-Core User Groups</t>
  </si>
  <si>
    <t>Total Revenue from Non-Core Users</t>
  </si>
  <si>
    <t>Total Revenue remaining to be raised by core users</t>
  </si>
  <si>
    <t>Revenue to be raised from  Core Users</t>
  </si>
  <si>
    <t>Data Used to Build Rates for Core User Groups</t>
  </si>
  <si>
    <t>Revenue from Non-Core User Groups</t>
  </si>
  <si>
    <t>Industry and Allocated Accounts Fixed Rate Calculator</t>
  </si>
  <si>
    <t xml:space="preserve">Allocated Accounts fixed rate for Water is half the Commercial and Government </t>
  </si>
  <si>
    <t xml:space="preserve">Allocated Accounts fixed rate for Sewer is half the Commercial and Government </t>
  </si>
  <si>
    <t>Industry fixed rate for Sewer is the Commercial and Government plus 15%</t>
  </si>
  <si>
    <t>FY2020 Water and Sewer Rate Sheet approved by Water and Sewer Commission on May 21, 2019</t>
  </si>
  <si>
    <t>Billed 4/1/20 - 3/31/21</t>
  </si>
  <si>
    <t>FY21</t>
  </si>
  <si>
    <t>Total Change FY20/FY21</t>
  </si>
  <si>
    <t>Percent Change FY20/FY21</t>
  </si>
  <si>
    <t>Adjusted FY21</t>
  </si>
  <si>
    <t xml:space="preserve">FY20 </t>
  </si>
  <si>
    <t>Change FY20 to FY21</t>
  </si>
  <si>
    <t>Green Box is a manual entry number</t>
  </si>
  <si>
    <t xml:space="preserve">School </t>
  </si>
  <si>
    <t>Double Check to ensure the revenue raised by fees equals budgeted revenue goal (field should equal zero)</t>
  </si>
  <si>
    <t>Percent of Capital Budget that is covered by revenue rasied by fixed fees</t>
  </si>
  <si>
    <t>FY19 FINAL RATES</t>
  </si>
  <si>
    <t>FY2021 Water and Sewer Rate Sheet as of 5/1/20</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</si>
</sst>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7" formatCode="&quot;$&quot;#,##0.00_);\(&quot;$&quot;#,##0.00\)"/>
    <numFmt numFmtId="44" formatCode="_(&quot;$&quot;* #,##0.00_);_(&quot;$&quot;* \(#,##0.00\);_(&quot;$&quot;* &quot;-&quot;??_);_(@_)"/>
    <numFmt numFmtId="43" formatCode="_(* #,##0.00_);_(* \(#,##0.00\);_(* &quot;-&quot;??_);_(@_)"/>
    <numFmt numFmtId="164" formatCode="[$$-409]#,##0.00;[Red]&quot;-&quot;[$$-409]#,##0.00"/>
    <numFmt numFmtId="165" formatCode="[$$-409]#,##0.00;[Red][$$-409]#,##0.00"/>
    <numFmt numFmtId="166" formatCode="[$$-409]#,##0;[Red][$$-409]#,##0"/>
    <numFmt numFmtId="167" formatCode="_(* #,##0_);_(* \(#,##0\);_(* &quot;-&quot;??_);_(@_)"/>
    <numFmt numFmtId="168" formatCode="[$$-409]#,##0;[Red]&quot;-&quot;[$$-409]#,##0"/>
    <numFmt numFmtId="169" formatCode="0.0%"/>
    <numFmt numFmtId="170" formatCode="[$$-409]#,##0.00"/>
    <numFmt numFmtId="171" formatCode="&quot;$&quot;#,##0.00"/>
    <numFmt numFmtId="172" formatCode="&quot;$&quot;#,##0"/>
  </numFmts>
  <fonts count="27">
    <font>
      <sz val="11"/>
      <color rgb="FF000000"/>
      <name val="Liberation Sans"/>
    </font>
    <font>
      <b/>
      <i/>
      <sz val="16"/>
      <color rgb="FF000000"/>
      <name val="Liberation Sans"/>
    </font>
    <font>
      <b/>
      <i/>
      <u/>
      <sz val="11"/>
      <color rgb="FF000000"/>
      <name val="Liberation Sans"/>
    </font>
    <font>
      <b/>
      <sz val="11"/>
      <color rgb="FF000000"/>
      <name val="Liberation Sans"/>
    </font>
    <font>
      <sz val="8"/>
      <color rgb="FF000000"/>
      <name val="Liberation Sans"/>
    </font>
    <font>
      <sz val="11"/>
      <color rgb="FF000000"/>
      <name val="Liberation Sans"/>
    </font>
    <font>
      <b/>
      <u/>
      <sz val="11"/>
      <color rgb="FF000000"/>
      <name val="Liberation Sans"/>
    </font>
    <font>
      <sz val="9"/>
      <color rgb="FF000000"/>
      <name val="Liberation Sans"/>
    </font>
    <font>
      <sz val="6"/>
      <color rgb="FF000000"/>
      <name val="Liberation Sans"/>
    </font>
    <font>
      <u/>
      <sz val="11"/>
      <color rgb="FF000000"/>
      <name val="Liberation Sans"/>
    </font>
    <font>
      <i/>
      <sz val="11"/>
      <color rgb="FF000000"/>
      <name val="Liberation Sans"/>
    </font>
    <font>
      <i/>
      <sz val="11"/>
      <name val="Liberation Sans"/>
    </font>
    <font>
      <i/>
      <sz val="8"/>
      <color rgb="FF000000"/>
      <name val="Liberation Sans"/>
    </font>
    <font>
      <sz val="11"/>
      <color rgb="FFFF0000"/>
      <name val="Liberation Sans"/>
    </font>
    <font>
      <sz val="8"/>
      <color rgb="FFFF0000"/>
      <name val="Liberation Sans"/>
    </font>
    <font>
      <sz val="11"/>
      <name val="Liberation Sans"/>
    </font>
    <font>
      <sz val="8"/>
      <name val="Liberation Sans"/>
    </font>
    <font>
      <b/>
      <sz val="11"/>
      <name val="Liberation Sans"/>
    </font>
    <font>
      <b/>
      <sz val="16"/>
      <color rgb="FF000000"/>
      <name val="Liberation Sans"/>
    </font>
    <font>
      <sz val="11"/>
      <color rgb="FF000000"/>
      <name val="Calibri"/>
      <family val="2"/>
      <scheme val="minor"/>
    </font>
    <font>
      <b/>
      <sz val="11"/>
      <color rgb="FF000000"/>
      <name val="Calibri"/>
      <family val="2"/>
      <scheme val="minor"/>
    </font>
    <font>
      <sz val="11"/>
      <name val="Calibri"/>
      <family val="2"/>
      <scheme val="minor"/>
    </font>
    <font>
      <b/>
      <sz val="18"/>
      <color rgb="FF000000"/>
      <name val="Calibri"/>
      <family val="2"/>
      <scheme val="minor"/>
    </font>
    <font>
      <b/>
      <sz val="14"/>
      <color rgb="FF000000"/>
      <name val="Calibri"/>
      <family val="2"/>
      <scheme val="minor"/>
    </font>
    <font>
      <b/>
      <u/>
      <sz val="18"/>
      <color rgb="FF000000"/>
      <name val="Calibri"/>
      <family val="2"/>
      <scheme val="minor"/>
    </font>
    <font>
      <b/>
      <sz val="26"/>
      <color rgb="FF000000"/>
      <name val="Calibri"/>
      <family val="2"/>
      <scheme val="minor"/>
    </font>
    <font>
      <b/>
      <sz val="26"/>
      <name val="Liberation Sans"/>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s>
  <borders count="30">
    <border>
      <left/>
      <right/>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auto="1"/>
      </left>
      <right/>
      <top/>
      <bottom/>
      <diagonal/>
    </border>
    <border>
      <left style="thick">
        <color auto="1"/>
      </left>
      <right/>
      <top/>
      <bottom style="thin">
        <color auto="1"/>
      </bottom>
      <diagonal/>
    </border>
    <border>
      <left/>
      <right style="thick">
        <color auto="1"/>
      </right>
      <top style="thin">
        <color auto="1"/>
      </top>
      <bottom/>
      <diagonal/>
    </border>
    <border>
      <left/>
      <right style="thick">
        <color auto="1"/>
      </right>
      <top/>
      <bottom/>
      <diagonal/>
    </border>
    <border>
      <left/>
      <right style="thick">
        <color auto="1"/>
      </right>
      <top/>
      <bottom style="thin">
        <color auto="1"/>
      </bottom>
      <diagonal/>
    </border>
  </borders>
  <cellStyleXfs count="7">
    <xf numFmtId="0" fontId="0" fillId="0" borderId="0"/>
    <xf numFmtId="0" fontId="1" fillId="0" borderId="0" applyNumberFormat="0" applyBorder="0" applyProtection="0">
      <alignment horizontal="center"/>
    </xf>
    <xf numFmtId="0" fontId="1" fillId="0" borderId="0" applyNumberFormat="0" applyBorder="0" applyProtection="0">
      <alignment horizontal="center" textRotation="90"/>
    </xf>
    <xf numFmtId="0" fontId="2" fillId="0" borderId="0" applyNumberFormat="0" applyBorder="0" applyProtection="0"/>
    <xf numFmtId="164" fontId="2" fillId="0" borderId="0" applyBorder="0" applyProtection="0"/>
    <xf numFmtId="9" fontId="5" fillId="0" borderId="0" applyFont="0" applyFill="0" applyBorder="0" applyAlignment="0" applyProtection="0"/>
    <xf numFmtId="43" fontId="5" fillId="0" borderId="0" applyFont="0" applyFill="0" applyBorder="0" applyAlignment="0" applyProtection="0"/>
  </cellStyleXfs>
  <cellXfs count="359">
    <xf numFmtId="0" fontId="0" fillId="0" borderId="0" xfId="0"/>
    <xf numFmtId="0" fontId="0" fillId="0" borderId="1" xfId="0" applyBorder="1"/>
    <xf numFmtId="0" fontId="0" fillId="0" borderId="2" xfId="0" applyBorder="1"/>
    <xf numFmtId="164" fontId="0" fillId="0" borderId="2" xfId="0" applyNumberFormat="1" applyBorder="1"/>
    <xf numFmtId="0" fontId="0" fillId="0" borderId="3" xfId="0" applyBorder="1"/>
    <xf numFmtId="0" fontId="0" fillId="0" borderId="4" xfId="0" applyBorder="1"/>
    <xf numFmtId="164" fontId="0" fillId="0" borderId="5" xfId="0" applyNumberFormat="1" applyBorder="1"/>
    <xf numFmtId="10" fontId="0" fillId="0" borderId="4" xfId="0" applyNumberFormat="1" applyBorder="1"/>
    <xf numFmtId="0" fontId="0" fillId="0" borderId="5" xfId="0" applyBorder="1"/>
    <xf numFmtId="164" fontId="3" fillId="0" borderId="0" xfId="0" applyNumberFormat="1" applyFont="1" applyBorder="1"/>
    <xf numFmtId="164" fontId="0" fillId="0" borderId="0" xfId="0" applyNumberFormat="1" applyBorder="1"/>
    <xf numFmtId="164" fontId="0" fillId="0" borderId="8" xfId="0" applyNumberFormat="1" applyBorder="1"/>
    <xf numFmtId="0" fontId="0" fillId="0" borderId="7" xfId="0" applyBorder="1"/>
    <xf numFmtId="0" fontId="0" fillId="0" borderId="9" xfId="0" applyBorder="1"/>
    <xf numFmtId="0" fontId="0" fillId="0" borderId="8" xfId="0" applyBorder="1"/>
    <xf numFmtId="164" fontId="0" fillId="0" borderId="3" xfId="0" applyNumberFormat="1" applyBorder="1"/>
    <xf numFmtId="0" fontId="0" fillId="0" borderId="0" xfId="0" applyBorder="1" applyAlignment="1">
      <alignment horizontal="center"/>
    </xf>
    <xf numFmtId="164" fontId="0" fillId="0" borderId="0" xfId="0" applyNumberFormat="1" applyBorder="1" applyAlignment="1">
      <alignment horizontal="center"/>
    </xf>
    <xf numFmtId="0" fontId="0" fillId="0" borderId="11" xfId="0" applyBorder="1"/>
    <xf numFmtId="0" fontId="0" fillId="0" borderId="10" xfId="0" applyBorder="1"/>
    <xf numFmtId="10" fontId="0" fillId="0" borderId="0" xfId="0" applyNumberFormat="1" applyBorder="1"/>
    <xf numFmtId="164" fontId="3" fillId="0" borderId="10" xfId="0" applyNumberFormat="1" applyFont="1" applyBorder="1"/>
    <xf numFmtId="0" fontId="0" fillId="0" borderId="6" xfId="0" applyBorder="1"/>
    <xf numFmtId="0" fontId="0" fillId="0" borderId="12" xfId="0" applyBorder="1"/>
    <xf numFmtId="10" fontId="0" fillId="0" borderId="5" xfId="0" applyNumberFormat="1" applyBorder="1"/>
    <xf numFmtId="0" fontId="4" fillId="0" borderId="10" xfId="0" applyFont="1" applyBorder="1"/>
    <xf numFmtId="6" fontId="0" fillId="0" borderId="0" xfId="0" applyNumberFormat="1"/>
    <xf numFmtId="0" fontId="0" fillId="0" borderId="14" xfId="0" applyBorder="1"/>
    <xf numFmtId="0" fontId="0" fillId="0" borderId="13" xfId="0" applyBorder="1"/>
    <xf numFmtId="6" fontId="0" fillId="0" borderId="2" xfId="0" applyNumberFormat="1" applyBorder="1"/>
    <xf numFmtId="6" fontId="0" fillId="0" borderId="3" xfId="0" applyNumberFormat="1" applyBorder="1"/>
    <xf numFmtId="0" fontId="3" fillId="0" borderId="0" xfId="0" applyFont="1"/>
    <xf numFmtId="0" fontId="0" fillId="2" borderId="10" xfId="0" applyFill="1" applyBorder="1"/>
    <xf numFmtId="0" fontId="0" fillId="2" borderId="0" xfId="0" applyFill="1"/>
    <xf numFmtId="3" fontId="0" fillId="2" borderId="10" xfId="0" applyNumberFormat="1" applyFill="1" applyBorder="1"/>
    <xf numFmtId="0" fontId="0" fillId="0" borderId="0" xfId="0" applyAlignment="1">
      <alignment horizontal="right"/>
    </xf>
    <xf numFmtId="0" fontId="0" fillId="0" borderId="0" xfId="0" applyFill="1"/>
    <xf numFmtId="0" fontId="0" fillId="0" borderId="0" xfId="0" applyFill="1" applyAlignment="1">
      <alignment horizontal="right"/>
    </xf>
    <xf numFmtId="165" fontId="0" fillId="0" borderId="0" xfId="0" applyNumberFormat="1"/>
    <xf numFmtId="166" fontId="4" fillId="0" borderId="0" xfId="0" applyNumberFormat="1" applyFont="1" applyAlignment="1">
      <alignment horizontal="center"/>
    </xf>
    <xf numFmtId="166" fontId="4" fillId="0" borderId="0" xfId="0" applyNumberFormat="1" applyFont="1" applyBorder="1" applyAlignment="1">
      <alignment horizontal="center"/>
    </xf>
    <xf numFmtId="0" fontId="4" fillId="0" borderId="0" xfId="0" applyFont="1"/>
    <xf numFmtId="6" fontId="0" fillId="0" borderId="0" xfId="0" applyNumberFormat="1" applyBorder="1"/>
    <xf numFmtId="164" fontId="3" fillId="0" borderId="0" xfId="0" applyNumberFormat="1" applyFont="1" applyFill="1" applyBorder="1"/>
    <xf numFmtId="0" fontId="0" fillId="0" borderId="0" xfId="0" applyAlignment="1">
      <alignment horizontal="center"/>
    </xf>
    <xf numFmtId="0" fontId="3" fillId="0" borderId="4" xfId="0" applyFont="1" applyBorder="1"/>
    <xf numFmtId="0" fontId="0" fillId="2" borderId="12" xfId="0" applyFill="1" applyBorder="1"/>
    <xf numFmtId="6" fontId="0" fillId="0" borderId="0" xfId="0" applyNumberFormat="1" applyFill="1" applyBorder="1"/>
    <xf numFmtId="168" fontId="3" fillId="0" borderId="10" xfId="0" applyNumberFormat="1" applyFont="1" applyBorder="1"/>
    <xf numFmtId="0" fontId="0" fillId="0" borderId="15" xfId="0" applyBorder="1"/>
    <xf numFmtId="0" fontId="0" fillId="0" borderId="16" xfId="0" applyBorder="1"/>
    <xf numFmtId="0" fontId="0" fillId="0" borderId="18" xfId="0" applyBorder="1"/>
    <xf numFmtId="9" fontId="0" fillId="0" borderId="0" xfId="5" applyFont="1" applyBorder="1"/>
    <xf numFmtId="0" fontId="0" fillId="0" borderId="20" xfId="0" applyBorder="1"/>
    <xf numFmtId="0" fontId="4" fillId="0" borderId="0" xfId="0" applyFont="1" applyAlignment="1">
      <alignment horizontal="right"/>
    </xf>
    <xf numFmtId="0" fontId="4" fillId="0" borderId="10" xfId="0" applyFont="1" applyBorder="1" applyAlignment="1">
      <alignment horizontal="right"/>
    </xf>
    <xf numFmtId="167" fontId="0" fillId="2" borderId="10" xfId="6" applyNumberFormat="1" applyFont="1" applyFill="1" applyBorder="1" applyAlignment="1">
      <alignment horizontal="right"/>
    </xf>
    <xf numFmtId="164" fontId="3" fillId="0" borderId="10" xfId="0" applyNumberFormat="1" applyFont="1" applyBorder="1" applyAlignment="1">
      <alignment horizontal="right"/>
    </xf>
    <xf numFmtId="0" fontId="0" fillId="2" borderId="4" xfId="0" applyFill="1" applyBorder="1" applyAlignment="1">
      <alignment horizontal="right"/>
    </xf>
    <xf numFmtId="167" fontId="0" fillId="2" borderId="0" xfId="6" applyNumberFormat="1" applyFont="1" applyFill="1" applyAlignment="1">
      <alignment horizontal="right"/>
    </xf>
    <xf numFmtId="0" fontId="0" fillId="0" borderId="7" xfId="0" applyBorder="1" applyAlignment="1">
      <alignment horizontal="right"/>
    </xf>
    <xf numFmtId="0" fontId="0" fillId="0" borderId="4" xfId="0" applyBorder="1" applyAlignment="1">
      <alignment horizontal="right"/>
    </xf>
    <xf numFmtId="167" fontId="0" fillId="2" borderId="0" xfId="6" applyNumberFormat="1" applyFont="1" applyFill="1" applyBorder="1" applyAlignment="1">
      <alignment horizontal="right"/>
    </xf>
    <xf numFmtId="168" fontId="3" fillId="0" borderId="0" xfId="0" applyNumberFormat="1" applyFont="1" applyBorder="1" applyAlignment="1">
      <alignment horizontal="right"/>
    </xf>
    <xf numFmtId="0" fontId="0" fillId="2" borderId="12" xfId="0" applyFill="1" applyBorder="1" applyAlignment="1">
      <alignment horizontal="right"/>
    </xf>
    <xf numFmtId="0" fontId="0" fillId="0" borderId="12" xfId="0" applyBorder="1" applyAlignment="1">
      <alignment horizontal="right"/>
    </xf>
    <xf numFmtId="164" fontId="0" fillId="0" borderId="10" xfId="0" applyNumberFormat="1" applyBorder="1" applyAlignment="1">
      <alignment horizontal="right"/>
    </xf>
    <xf numFmtId="0" fontId="0" fillId="0" borderId="10" xfId="0" applyBorder="1" applyAlignment="1">
      <alignment horizontal="right"/>
    </xf>
    <xf numFmtId="0" fontId="4" fillId="0" borderId="0" xfId="0" applyFont="1" applyAlignment="1">
      <alignment horizontal="center"/>
    </xf>
    <xf numFmtId="0" fontId="0" fillId="0" borderId="6" xfId="0" applyBorder="1" applyAlignment="1">
      <alignment horizontal="center"/>
    </xf>
    <xf numFmtId="10" fontId="0" fillId="0" borderId="0" xfId="0" applyNumberForma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5" xfId="0" applyFont="1" applyBorder="1"/>
    <xf numFmtId="10" fontId="7" fillId="0" borderId="0" xfId="0" applyNumberFormat="1" applyFont="1" applyAlignment="1">
      <alignment horizontal="center"/>
    </xf>
    <xf numFmtId="0" fontId="0" fillId="0" borderId="4" xfId="0" applyBorder="1" applyAlignment="1">
      <alignment horizontal="center"/>
    </xf>
    <xf numFmtId="0" fontId="6" fillId="0" borderId="12" xfId="0" applyFont="1" applyBorder="1" applyAlignment="1">
      <alignment horizontal="center"/>
    </xf>
    <xf numFmtId="164" fontId="0" fillId="0" borderId="5" xfId="0" applyNumberFormat="1" applyBorder="1" applyAlignment="1">
      <alignment horizontal="center"/>
    </xf>
    <xf numFmtId="0" fontId="0" fillId="0" borderId="5" xfId="0" applyBorder="1" applyAlignment="1">
      <alignment horizontal="center" vertical="center"/>
    </xf>
    <xf numFmtId="0" fontId="6" fillId="0" borderId="4" xfId="0" applyFont="1" applyBorder="1"/>
    <xf numFmtId="0" fontId="8" fillId="0" borderId="2" xfId="0" applyFont="1" applyBorder="1"/>
    <xf numFmtId="168" fontId="3" fillId="0" borderId="11" xfId="0" applyNumberFormat="1" applyFont="1" applyBorder="1" applyAlignment="1">
      <alignment horizontal="right"/>
    </xf>
    <xf numFmtId="0" fontId="3" fillId="0" borderId="1" xfId="0" applyFont="1" applyBorder="1" applyAlignment="1">
      <alignment horizontal="left"/>
    </xf>
    <xf numFmtId="164" fontId="3" fillId="0" borderId="1" xfId="0" applyNumberFormat="1" applyFont="1" applyBorder="1" applyAlignment="1">
      <alignment horizontal="center"/>
    </xf>
    <xf numFmtId="0" fontId="0" fillId="0" borderId="3" xfId="0" applyBorder="1" applyAlignment="1">
      <alignment horizontal="center" vertical="center"/>
    </xf>
    <xf numFmtId="168" fontId="3" fillId="0" borderId="1" xfId="0" applyNumberFormat="1" applyFont="1" applyBorder="1"/>
    <xf numFmtId="0" fontId="4" fillId="0" borderId="2" xfId="0" applyFont="1" applyBorder="1" applyAlignment="1">
      <alignment horizontal="right"/>
    </xf>
    <xf numFmtId="167" fontId="0" fillId="0" borderId="0" xfId="0" applyNumberFormat="1" applyFill="1" applyBorder="1" applyAlignment="1">
      <alignment horizontal="center"/>
    </xf>
    <xf numFmtId="10" fontId="0" fillId="0" borderId="0" xfId="5" applyNumberFormat="1" applyFont="1" applyBorder="1" applyAlignment="1">
      <alignment horizontal="center"/>
    </xf>
    <xf numFmtId="167" fontId="0" fillId="0" borderId="0" xfId="0" applyNumberFormat="1" applyBorder="1" applyAlignment="1">
      <alignment horizontal="center"/>
    </xf>
    <xf numFmtId="10" fontId="0" fillId="0" borderId="19" xfId="5" applyNumberFormat="1" applyFont="1" applyBorder="1" applyAlignment="1">
      <alignment horizontal="center"/>
    </xf>
    <xf numFmtId="167" fontId="0" fillId="0" borderId="21" xfId="6" applyNumberFormat="1" applyFont="1" applyBorder="1" applyAlignment="1">
      <alignment horizontal="center"/>
    </xf>
    <xf numFmtId="10" fontId="0" fillId="0" borderId="21" xfId="5" applyNumberFormat="1" applyFont="1" applyBorder="1" applyAlignment="1">
      <alignment horizontal="center"/>
    </xf>
    <xf numFmtId="10" fontId="0" fillId="0" borderId="22" xfId="5" applyNumberFormat="1" applyFont="1" applyBorder="1" applyAlignment="1">
      <alignment horizontal="center"/>
    </xf>
    <xf numFmtId="9" fontId="10" fillId="2" borderId="16" xfId="0" applyNumberFormat="1" applyFont="1" applyFill="1" applyBorder="1"/>
    <xf numFmtId="0" fontId="10" fillId="0" borderId="16" xfId="0" applyFont="1" applyBorder="1"/>
    <xf numFmtId="0" fontId="10" fillId="0" borderId="17" xfId="0" applyFont="1" applyBorder="1"/>
    <xf numFmtId="9" fontId="10" fillId="0" borderId="7" xfId="5" applyFont="1" applyBorder="1"/>
    <xf numFmtId="169" fontId="10" fillId="0" borderId="7" xfId="0" applyNumberFormat="1" applyFont="1" applyBorder="1"/>
    <xf numFmtId="10" fontId="10" fillId="0" borderId="4" xfId="0" applyNumberFormat="1" applyFont="1" applyBorder="1"/>
    <xf numFmtId="9" fontId="10" fillId="0" borderId="4" xfId="5" applyFont="1" applyBorder="1"/>
    <xf numFmtId="169" fontId="10" fillId="0" borderId="0" xfId="0" applyNumberFormat="1" applyFont="1" applyBorder="1"/>
    <xf numFmtId="169" fontId="10" fillId="0" borderId="0" xfId="0" applyNumberFormat="1" applyFont="1"/>
    <xf numFmtId="165" fontId="10" fillId="0" borderId="7" xfId="0" applyNumberFormat="1" applyFont="1" applyBorder="1"/>
    <xf numFmtId="170" fontId="11" fillId="0" borderId="7" xfId="0" applyNumberFormat="1" applyFont="1" applyBorder="1"/>
    <xf numFmtId="165" fontId="10" fillId="0" borderId="4" xfId="0" applyNumberFormat="1" applyFont="1" applyBorder="1"/>
    <xf numFmtId="170" fontId="10" fillId="0" borderId="0" xfId="0" applyNumberFormat="1" applyFont="1" applyBorder="1"/>
    <xf numFmtId="170" fontId="10" fillId="0" borderId="4" xfId="0" applyNumberFormat="1" applyFont="1" applyBorder="1"/>
    <xf numFmtId="170" fontId="10" fillId="0" borderId="0" xfId="0" applyNumberFormat="1" applyFont="1"/>
    <xf numFmtId="6" fontId="0" fillId="0" borderId="0" xfId="0" applyNumberFormat="1" applyFill="1" applyAlignment="1">
      <alignment horizontal="right"/>
    </xf>
    <xf numFmtId="165" fontId="10" fillId="0" borderId="7" xfId="0" applyNumberFormat="1" applyFont="1" applyBorder="1" applyAlignment="1">
      <alignment horizontal="right"/>
    </xf>
    <xf numFmtId="170" fontId="10" fillId="0" borderId="7" xfId="0" applyNumberFormat="1" applyFont="1" applyBorder="1" applyAlignment="1">
      <alignment horizontal="right"/>
    </xf>
    <xf numFmtId="170" fontId="10" fillId="0" borderId="7" xfId="0" applyNumberFormat="1" applyFont="1" applyBorder="1"/>
    <xf numFmtId="171" fontId="10" fillId="0" borderId="7" xfId="0" applyNumberFormat="1" applyFont="1" applyBorder="1" applyAlignment="1">
      <alignment horizontal="right"/>
    </xf>
    <xf numFmtId="10" fontId="4" fillId="0" borderId="0" xfId="0" applyNumberFormat="1" applyFont="1" applyAlignment="1">
      <alignment horizontal="center"/>
    </xf>
    <xf numFmtId="0" fontId="0" fillId="3" borderId="0" xfId="0" applyFill="1"/>
    <xf numFmtId="6" fontId="0" fillId="3" borderId="2" xfId="0" applyNumberFormat="1" applyFill="1" applyBorder="1"/>
    <xf numFmtId="6" fontId="0" fillId="3" borderId="0" xfId="0" applyNumberFormat="1" applyFill="1"/>
    <xf numFmtId="0" fontId="12" fillId="0" borderId="0" xfId="0" applyFont="1"/>
    <xf numFmtId="171" fontId="0" fillId="0" borderId="0" xfId="0" applyNumberFormat="1" applyAlignment="1">
      <alignment horizontal="center"/>
    </xf>
    <xf numFmtId="172" fontId="0" fillId="0" borderId="0" xfId="0" applyNumberFormat="1" applyAlignment="1">
      <alignment horizontal="center"/>
    </xf>
    <xf numFmtId="0" fontId="9" fillId="0" borderId="0" xfId="0" applyFont="1" applyAlignment="1">
      <alignment horizontal="left"/>
    </xf>
    <xf numFmtId="172" fontId="0" fillId="3" borderId="0" xfId="0" applyNumberFormat="1" applyFill="1"/>
    <xf numFmtId="172" fontId="0" fillId="3" borderId="2" xfId="0" applyNumberFormat="1" applyFont="1" applyFill="1" applyBorder="1" applyAlignment="1">
      <alignment horizontal="right"/>
    </xf>
    <xf numFmtId="6" fontId="0" fillId="0" borderId="0" xfId="0" applyNumberFormat="1" applyAlignment="1">
      <alignment horizontal="right"/>
    </xf>
    <xf numFmtId="6" fontId="0" fillId="0" borderId="2" xfId="0" applyNumberFormat="1" applyBorder="1" applyAlignment="1">
      <alignment horizontal="right"/>
    </xf>
    <xf numFmtId="10" fontId="13" fillId="0" borderId="5" xfId="0" applyNumberFormat="1" applyFont="1" applyBorder="1" applyAlignment="1">
      <alignment horizontal="center"/>
    </xf>
    <xf numFmtId="0" fontId="14" fillId="0" borderId="0" xfId="0" applyFont="1" applyAlignment="1">
      <alignment horizontal="center"/>
    </xf>
    <xf numFmtId="167" fontId="15" fillId="2" borderId="0" xfId="6" applyNumberFormat="1" applyFont="1" applyFill="1" applyAlignment="1">
      <alignment horizontal="right"/>
    </xf>
    <xf numFmtId="0" fontId="15" fillId="0" borderId="0" xfId="0" applyFont="1" applyBorder="1"/>
    <xf numFmtId="164" fontId="17" fillId="0" borderId="10" xfId="0" applyNumberFormat="1" applyFont="1" applyBorder="1" applyAlignment="1">
      <alignment horizontal="right"/>
    </xf>
    <xf numFmtId="0" fontId="16" fillId="0" borderId="0" xfId="0" applyFont="1"/>
    <xf numFmtId="10" fontId="13" fillId="0" borderId="0" xfId="0" applyNumberFormat="1" applyFont="1" applyAlignment="1">
      <alignment horizontal="center"/>
    </xf>
    <xf numFmtId="10" fontId="13" fillId="0" borderId="4" xfId="0" applyNumberFormat="1" applyFont="1" applyBorder="1" applyAlignment="1">
      <alignment horizontal="center"/>
    </xf>
    <xf numFmtId="10" fontId="13" fillId="0" borderId="2" xfId="0" applyNumberFormat="1" applyFont="1" applyBorder="1" applyAlignment="1">
      <alignment horizontal="center"/>
    </xf>
    <xf numFmtId="167" fontId="15" fillId="0" borderId="0" xfId="0" applyNumberFormat="1" applyFont="1" applyBorder="1" applyAlignment="1">
      <alignment horizontal="center"/>
    </xf>
    <xf numFmtId="168" fontId="0" fillId="0" borderId="0" xfId="0" applyNumberFormat="1" applyAlignment="1">
      <alignment horizontal="center"/>
    </xf>
    <xf numFmtId="169" fontId="0" fillId="0" borderId="0" xfId="5" applyNumberFormat="1" applyFont="1"/>
    <xf numFmtId="172" fontId="0" fillId="0" borderId="0" xfId="0" applyNumberFormat="1"/>
    <xf numFmtId="9" fontId="0" fillId="0" borderId="0" xfId="5" applyFont="1"/>
    <xf numFmtId="0" fontId="0" fillId="0" borderId="0" xfId="0" applyFont="1" applyAlignment="1">
      <alignment horizontal="left"/>
    </xf>
    <xf numFmtId="164" fontId="0" fillId="2" borderId="2" xfId="0" applyNumberFormat="1" applyFill="1" applyBorder="1"/>
    <xf numFmtId="168" fontId="3" fillId="0" borderId="5" xfId="0" applyNumberFormat="1" applyFont="1" applyBorder="1"/>
    <xf numFmtId="168" fontId="0" fillId="0" borderId="0" xfId="0" applyNumberFormat="1"/>
    <xf numFmtId="168" fontId="3" fillId="2" borderId="0" xfId="0" applyNumberFormat="1" applyFont="1" applyFill="1" applyBorder="1"/>
    <xf numFmtId="168" fontId="0" fillId="2" borderId="0" xfId="0" applyNumberFormat="1" applyFill="1"/>
    <xf numFmtId="168" fontId="3" fillId="0" borderId="5" xfId="0" applyNumberFormat="1" applyFont="1" applyFill="1" applyBorder="1"/>
    <xf numFmtId="0" fontId="9" fillId="0" borderId="16" xfId="0" applyFont="1" applyBorder="1" applyAlignment="1">
      <alignment horizontal="center"/>
    </xf>
    <xf numFmtId="0" fontId="0" fillId="0" borderId="18" xfId="0" applyBorder="1" applyAlignment="1">
      <alignment horizontal="right"/>
    </xf>
    <xf numFmtId="172" fontId="0" fillId="0" borderId="0" xfId="0" applyNumberFormat="1" applyBorder="1" applyAlignment="1">
      <alignment horizontal="center"/>
    </xf>
    <xf numFmtId="172" fontId="0" fillId="0" borderId="19" xfId="0" applyNumberFormat="1" applyBorder="1" applyAlignment="1">
      <alignment horizontal="center"/>
    </xf>
    <xf numFmtId="0" fontId="0" fillId="0" borderId="21" xfId="0" applyBorder="1"/>
    <xf numFmtId="0" fontId="0" fillId="0" borderId="21" xfId="0" applyBorder="1" applyAlignment="1">
      <alignment horizontal="center"/>
    </xf>
    <xf numFmtId="0" fontId="0" fillId="0" borderId="22" xfId="0" applyBorder="1" applyAlignment="1">
      <alignment horizontal="center"/>
    </xf>
    <xf numFmtId="0" fontId="9" fillId="0" borderId="17" xfId="0" applyFont="1" applyBorder="1" applyAlignment="1">
      <alignment horizontal="center"/>
    </xf>
    <xf numFmtId="168" fontId="13" fillId="0" borderId="10" xfId="0" applyNumberFormat="1" applyFont="1" applyFill="1" applyBorder="1" applyAlignment="1">
      <alignment horizontal="center"/>
    </xf>
    <xf numFmtId="168" fontId="13" fillId="0" borderId="0" xfId="0" applyNumberFormat="1" applyFont="1" applyFill="1" applyAlignment="1">
      <alignment horizontal="center"/>
    </xf>
    <xf numFmtId="10" fontId="15" fillId="0" borderId="0" xfId="5" applyNumberFormat="1" applyFont="1" applyBorder="1" applyAlignment="1">
      <alignment horizontal="center"/>
    </xf>
    <xf numFmtId="10" fontId="15" fillId="0" borderId="19" xfId="5" applyNumberFormat="1" applyFont="1" applyBorder="1" applyAlignment="1">
      <alignment horizontal="center"/>
    </xf>
    <xf numFmtId="0" fontId="18" fillId="0" borderId="0" xfId="0" applyFont="1" applyFill="1"/>
    <xf numFmtId="168" fontId="3" fillId="4" borderId="0" xfId="0" applyNumberFormat="1" applyFont="1" applyFill="1" applyBorder="1" applyAlignment="1">
      <alignment horizontal="right"/>
    </xf>
    <xf numFmtId="0" fontId="0" fillId="0" borderId="0" xfId="0" applyBorder="1"/>
    <xf numFmtId="0" fontId="19" fillId="0" borderId="0" xfId="0" applyFont="1"/>
    <xf numFmtId="0" fontId="19" fillId="0" borderId="0" xfId="0" applyFont="1" applyAlignment="1">
      <alignment horizontal="center"/>
    </xf>
    <xf numFmtId="0" fontId="19" fillId="0" borderId="0" xfId="0" applyFont="1" applyFill="1"/>
    <xf numFmtId="0" fontId="20" fillId="0" borderId="0" xfId="0" applyFont="1"/>
    <xf numFmtId="0" fontId="20" fillId="0" borderId="12" xfId="0" applyFont="1" applyBorder="1"/>
    <xf numFmtId="0" fontId="19" fillId="0" borderId="4" xfId="0" applyFont="1" applyBorder="1"/>
    <xf numFmtId="0" fontId="19" fillId="0" borderId="0" xfId="0" applyFont="1" applyBorder="1"/>
    <xf numFmtId="0" fontId="19" fillId="0" borderId="10" xfId="0" applyFont="1" applyBorder="1"/>
    <xf numFmtId="10" fontId="19" fillId="0" borderId="0" xfId="5" applyNumberFormat="1" applyFont="1" applyBorder="1" applyAlignment="1">
      <alignment horizontal="center"/>
    </xf>
    <xf numFmtId="10" fontId="21" fillId="0" borderId="0" xfId="5" applyNumberFormat="1" applyFont="1" applyBorder="1" applyAlignment="1">
      <alignment horizontal="center"/>
    </xf>
    <xf numFmtId="0" fontId="19" fillId="0" borderId="11" xfId="0" applyFont="1" applyBorder="1"/>
    <xf numFmtId="10" fontId="19" fillId="0" borderId="1" xfId="5" applyNumberFormat="1" applyFont="1" applyBorder="1" applyAlignment="1">
      <alignment horizontal="center"/>
    </xf>
    <xf numFmtId="10" fontId="19" fillId="0" borderId="3" xfId="5" applyNumberFormat="1" applyFont="1" applyBorder="1" applyAlignment="1">
      <alignment horizontal="center"/>
    </xf>
    <xf numFmtId="0" fontId="19" fillId="0" borderId="5" xfId="0" applyFont="1" applyBorder="1"/>
    <xf numFmtId="172" fontId="19" fillId="0" borderId="0" xfId="0" applyNumberFormat="1" applyFont="1" applyBorder="1" applyAlignment="1">
      <alignment horizontal="center"/>
    </xf>
    <xf numFmtId="172" fontId="19" fillId="0" borderId="2" xfId="0" applyNumberFormat="1" applyFont="1" applyBorder="1" applyAlignment="1">
      <alignment horizontal="center"/>
    </xf>
    <xf numFmtId="0" fontId="19" fillId="0" borderId="12" xfId="0" applyFont="1" applyBorder="1"/>
    <xf numFmtId="0" fontId="19" fillId="0" borderId="2" xfId="0" applyFont="1" applyBorder="1"/>
    <xf numFmtId="10" fontId="19" fillId="0" borderId="0" xfId="0" applyNumberFormat="1" applyFont="1" applyBorder="1"/>
    <xf numFmtId="169" fontId="19" fillId="0" borderId="0" xfId="0" applyNumberFormat="1" applyFont="1" applyBorder="1"/>
    <xf numFmtId="0" fontId="19" fillId="0" borderId="2" xfId="0" applyFont="1" applyBorder="1" applyAlignment="1">
      <alignment horizontal="center"/>
    </xf>
    <xf numFmtId="10" fontId="19" fillId="0" borderId="4" xfId="0" applyNumberFormat="1" applyFont="1" applyBorder="1"/>
    <xf numFmtId="0" fontId="19" fillId="0" borderId="1" xfId="0" applyFont="1" applyBorder="1"/>
    <xf numFmtId="6" fontId="19" fillId="0" borderId="2" xfId="0" applyNumberFormat="1" applyFont="1" applyBorder="1"/>
    <xf numFmtId="172" fontId="19" fillId="0" borderId="0" xfId="0" applyNumberFormat="1" applyFont="1"/>
    <xf numFmtId="0" fontId="19" fillId="0" borderId="0" xfId="0" applyFont="1" applyFill="1" applyAlignment="1"/>
    <xf numFmtId="0" fontId="19" fillId="0" borderId="10" xfId="0" applyFont="1" applyBorder="1" applyAlignment="1"/>
    <xf numFmtId="0" fontId="19" fillId="0" borderId="0" xfId="0" applyFont="1" applyBorder="1" applyAlignment="1"/>
    <xf numFmtId="0" fontId="19" fillId="0" borderId="11" xfId="0" applyFont="1" applyBorder="1" applyAlignment="1"/>
    <xf numFmtId="0" fontId="19" fillId="0" borderId="1" xfId="0" applyFont="1" applyBorder="1" applyAlignment="1"/>
    <xf numFmtId="0" fontId="20" fillId="0" borderId="0" xfId="0" applyFont="1" applyBorder="1"/>
    <xf numFmtId="10" fontId="19" fillId="0" borderId="2" xfId="0" applyNumberFormat="1" applyFont="1" applyBorder="1"/>
    <xf numFmtId="10" fontId="19" fillId="0" borderId="1" xfId="0" applyNumberFormat="1" applyFont="1" applyBorder="1"/>
    <xf numFmtId="10" fontId="19" fillId="0" borderId="3" xfId="0" applyNumberFormat="1" applyFont="1" applyBorder="1"/>
    <xf numFmtId="0" fontId="20" fillId="0" borderId="5" xfId="0" applyFont="1" applyBorder="1"/>
    <xf numFmtId="171" fontId="19" fillId="0" borderId="0" xfId="0" applyNumberFormat="1" applyFont="1" applyBorder="1"/>
    <xf numFmtId="171" fontId="19" fillId="0" borderId="2" xfId="0" applyNumberFormat="1" applyFont="1" applyBorder="1"/>
    <xf numFmtId="171" fontId="19" fillId="0" borderId="3" xfId="0" applyNumberFormat="1" applyFont="1" applyBorder="1"/>
    <xf numFmtId="167" fontId="19" fillId="0" borderId="0" xfId="0" applyNumberFormat="1" applyFont="1" applyBorder="1"/>
    <xf numFmtId="167" fontId="19" fillId="0" borderId="1" xfId="0" applyNumberFormat="1" applyFont="1" applyBorder="1"/>
    <xf numFmtId="0" fontId="20" fillId="0" borderId="0" xfId="0" applyFont="1" applyBorder="1" applyAlignment="1">
      <alignment wrapText="1"/>
    </xf>
    <xf numFmtId="0" fontId="20" fillId="0" borderId="2" xfId="0" applyFont="1" applyBorder="1" applyAlignment="1">
      <alignment wrapText="1"/>
    </xf>
    <xf numFmtId="167" fontId="19" fillId="0" borderId="10" xfId="0" applyNumberFormat="1" applyFont="1" applyFill="1" applyBorder="1" applyAlignment="1">
      <alignment horizontal="center"/>
    </xf>
    <xf numFmtId="167" fontId="19" fillId="0" borderId="2" xfId="0" applyNumberFormat="1" applyFont="1" applyBorder="1"/>
    <xf numFmtId="167" fontId="19" fillId="0" borderId="11" xfId="6" applyNumberFormat="1" applyFont="1" applyBorder="1" applyAlignment="1">
      <alignment horizontal="center"/>
    </xf>
    <xf numFmtId="167" fontId="19" fillId="0" borderId="3" xfId="0" applyNumberFormat="1" applyFont="1" applyBorder="1"/>
    <xf numFmtId="0" fontId="20" fillId="0" borderId="10" xfId="0" applyFont="1" applyBorder="1" applyAlignment="1"/>
    <xf numFmtId="0" fontId="20" fillId="0" borderId="0" xfId="0" applyFont="1" applyBorder="1" applyAlignment="1"/>
    <xf numFmtId="167" fontId="19" fillId="0" borderId="10" xfId="0" applyNumberFormat="1" applyFont="1" applyBorder="1" applyAlignment="1">
      <alignment horizontal="center"/>
    </xf>
    <xf numFmtId="167" fontId="21" fillId="0" borderId="10" xfId="0" applyNumberFormat="1" applyFont="1" applyBorder="1" applyAlignment="1">
      <alignment horizontal="center"/>
    </xf>
    <xf numFmtId="0" fontId="19" fillId="0" borderId="3" xfId="0" applyFont="1" applyBorder="1"/>
    <xf numFmtId="172" fontId="19" fillId="0" borderId="0" xfId="0" applyNumberFormat="1" applyFont="1" applyBorder="1"/>
    <xf numFmtId="171" fontId="19" fillId="0" borderId="10" xfId="0" applyNumberFormat="1" applyFont="1" applyBorder="1"/>
    <xf numFmtId="6" fontId="19" fillId="0" borderId="10" xfId="0" applyNumberFormat="1" applyFont="1" applyBorder="1"/>
    <xf numFmtId="44" fontId="19" fillId="0" borderId="10" xfId="0" applyNumberFormat="1" applyFont="1" applyBorder="1"/>
    <xf numFmtId="0" fontId="20" fillId="0" borderId="2" xfId="0" applyFont="1" applyBorder="1"/>
    <xf numFmtId="9" fontId="20" fillId="0" borderId="0" xfId="0" applyNumberFormat="1" applyFont="1" applyBorder="1" applyAlignment="1">
      <alignment horizontal="center"/>
    </xf>
    <xf numFmtId="0" fontId="19" fillId="0" borderId="0" xfId="0" applyFont="1" applyBorder="1" applyAlignment="1">
      <alignment wrapText="1"/>
    </xf>
    <xf numFmtId="0" fontId="19" fillId="0" borderId="2" xfId="0" applyFont="1" applyBorder="1" applyAlignment="1">
      <alignment wrapText="1"/>
    </xf>
    <xf numFmtId="9" fontId="19" fillId="0" borderId="10" xfId="0" applyNumberFormat="1" applyFont="1" applyBorder="1"/>
    <xf numFmtId="169" fontId="19" fillId="0" borderId="2" xfId="0" applyNumberFormat="1" applyFont="1" applyBorder="1"/>
    <xf numFmtId="0" fontId="19" fillId="0" borderId="4" xfId="0" applyFont="1" applyBorder="1" applyAlignment="1">
      <alignment wrapText="1"/>
    </xf>
    <xf numFmtId="0" fontId="19" fillId="0" borderId="5" xfId="0" applyFont="1" applyBorder="1" applyAlignment="1">
      <alignment wrapText="1"/>
    </xf>
    <xf numFmtId="37" fontId="19" fillId="0" borderId="2" xfId="0" applyNumberFormat="1" applyFont="1" applyBorder="1"/>
    <xf numFmtId="0" fontId="19" fillId="5" borderId="1" xfId="0" applyFont="1" applyFill="1" applyBorder="1"/>
    <xf numFmtId="0" fontId="19" fillId="5" borderId="11" xfId="0" applyFont="1" applyFill="1" applyBorder="1"/>
    <xf numFmtId="172" fontId="19" fillId="5" borderId="1" xfId="0" applyNumberFormat="1" applyFont="1" applyFill="1" applyBorder="1"/>
    <xf numFmtId="0" fontId="19" fillId="5" borderId="3" xfId="0" applyFont="1" applyFill="1" applyBorder="1"/>
    <xf numFmtId="0" fontId="19" fillId="5" borderId="0" xfId="0" applyFont="1" applyFill="1" applyBorder="1"/>
    <xf numFmtId="172" fontId="19" fillId="0" borderId="10" xfId="0" applyNumberFormat="1" applyFont="1" applyBorder="1"/>
    <xf numFmtId="172" fontId="19" fillId="0" borderId="2" xfId="0" applyNumberFormat="1" applyFont="1" applyBorder="1"/>
    <xf numFmtId="0" fontId="19" fillId="0" borderId="10" xfId="0" applyFont="1" applyBorder="1" applyAlignment="1">
      <alignment wrapText="1"/>
    </xf>
    <xf numFmtId="0" fontId="19" fillId="0" borderId="12" xfId="0" applyFont="1" applyBorder="1" applyAlignment="1">
      <alignment wrapText="1"/>
    </xf>
    <xf numFmtId="7" fontId="19" fillId="0" borderId="10" xfId="0" applyNumberFormat="1" applyFont="1" applyBorder="1"/>
    <xf numFmtId="172" fontId="19" fillId="5" borderId="3" xfId="0" applyNumberFormat="1" applyFont="1" applyFill="1" applyBorder="1"/>
    <xf numFmtId="171" fontId="20" fillId="0" borderId="10" xfId="0" applyNumberFormat="1" applyFont="1" applyBorder="1"/>
    <xf numFmtId="10" fontId="19" fillId="0" borderId="2" xfId="0" applyNumberFormat="1" applyFont="1" applyBorder="1" applyAlignment="1">
      <alignment horizontal="center"/>
    </xf>
    <xf numFmtId="0" fontId="20" fillId="0" borderId="10" xfId="0" applyFont="1" applyBorder="1"/>
    <xf numFmtId="0" fontId="19" fillId="5" borderId="3" xfId="0" applyFont="1" applyFill="1" applyBorder="1" applyAlignment="1">
      <alignment horizontal="center"/>
    </xf>
    <xf numFmtId="171" fontId="19" fillId="5" borderId="11" xfId="0" applyNumberFormat="1" applyFont="1" applyFill="1" applyBorder="1"/>
    <xf numFmtId="171" fontId="19" fillId="0" borderId="10" xfId="0" applyNumberFormat="1" applyFont="1" applyBorder="1" applyAlignment="1">
      <alignment horizontal="center"/>
    </xf>
    <xf numFmtId="0" fontId="19" fillId="5" borderId="11" xfId="0" applyFont="1" applyFill="1" applyBorder="1" applyAlignment="1">
      <alignment horizontal="center"/>
    </xf>
    <xf numFmtId="172" fontId="19" fillId="0" borderId="4" xfId="0" applyNumberFormat="1" applyFont="1" applyBorder="1"/>
    <xf numFmtId="172" fontId="19" fillId="0" borderId="5" xfId="0" applyNumberFormat="1" applyFont="1" applyBorder="1"/>
    <xf numFmtId="172" fontId="19" fillId="5" borderId="11" xfId="0" applyNumberFormat="1" applyFont="1" applyFill="1" applyBorder="1"/>
    <xf numFmtId="0" fontId="19" fillId="0" borderId="25" xfId="0" applyFont="1" applyBorder="1" applyAlignment="1">
      <alignment wrapText="1"/>
    </xf>
    <xf numFmtId="0" fontId="19" fillId="0" borderId="24" xfId="0" applyFont="1" applyBorder="1" applyAlignment="1">
      <alignment wrapText="1"/>
    </xf>
    <xf numFmtId="171" fontId="20" fillId="0" borderId="25" xfId="0" applyNumberFormat="1" applyFont="1" applyBorder="1"/>
    <xf numFmtId="0" fontId="19" fillId="5" borderId="26" xfId="0" applyFont="1" applyFill="1" applyBorder="1"/>
    <xf numFmtId="0" fontId="19" fillId="0" borderId="24" xfId="0" applyFont="1" applyBorder="1"/>
    <xf numFmtId="0" fontId="19" fillId="0" borderId="25" xfId="0" applyFont="1" applyBorder="1"/>
    <xf numFmtId="172" fontId="19" fillId="0" borderId="25" xfId="0" applyNumberFormat="1" applyFont="1" applyBorder="1"/>
    <xf numFmtId="172" fontId="19" fillId="5" borderId="26" xfId="0" applyNumberFormat="1" applyFont="1" applyFill="1" applyBorder="1"/>
    <xf numFmtId="0" fontId="19" fillId="0" borderId="1" xfId="0" applyFont="1" applyFill="1" applyBorder="1" applyAlignment="1">
      <alignment horizontal="center"/>
    </xf>
    <xf numFmtId="0" fontId="19" fillId="0" borderId="3" xfId="0" applyFont="1" applyFill="1" applyBorder="1" applyAlignment="1">
      <alignment horizontal="center"/>
    </xf>
    <xf numFmtId="10" fontId="19" fillId="0" borderId="11" xfId="0" applyNumberFormat="1" applyFont="1" applyBorder="1"/>
    <xf numFmtId="0" fontId="19" fillId="5" borderId="10" xfId="0" applyFont="1" applyFill="1" applyBorder="1"/>
    <xf numFmtId="172" fontId="19" fillId="5" borderId="10" xfId="0" applyNumberFormat="1" applyFont="1" applyFill="1" applyBorder="1"/>
    <xf numFmtId="172" fontId="19" fillId="5" borderId="2" xfId="0" applyNumberFormat="1" applyFont="1" applyFill="1" applyBorder="1"/>
    <xf numFmtId="0" fontId="19" fillId="0" borderId="25" xfId="0" applyFont="1" applyBorder="1" applyAlignment="1">
      <alignment horizontal="center"/>
    </xf>
    <xf numFmtId="171" fontId="19" fillId="0" borderId="25" xfId="0" applyNumberFormat="1" applyFont="1" applyBorder="1"/>
    <xf numFmtId="0" fontId="19" fillId="0" borderId="26" xfId="0" applyFont="1" applyBorder="1"/>
    <xf numFmtId="0" fontId="19" fillId="0" borderId="27" xfId="0" applyFont="1" applyBorder="1"/>
    <xf numFmtId="171" fontId="19" fillId="0" borderId="28" xfId="0" applyNumberFormat="1" applyFont="1" applyBorder="1"/>
    <xf numFmtId="0" fontId="19" fillId="0" borderId="28" xfId="0" applyFont="1" applyBorder="1"/>
    <xf numFmtId="0" fontId="19" fillId="0" borderId="29" xfId="0" applyFont="1" applyBorder="1"/>
    <xf numFmtId="171" fontId="19" fillId="5" borderId="10" xfId="0" applyNumberFormat="1" applyFont="1" applyFill="1" applyBorder="1"/>
    <xf numFmtId="10" fontId="19" fillId="5" borderId="11" xfId="0" applyNumberFormat="1" applyFont="1" applyFill="1" applyBorder="1"/>
    <xf numFmtId="0" fontId="22" fillId="0" borderId="0" xfId="0" applyFont="1"/>
    <xf numFmtId="171" fontId="19" fillId="0" borderId="2" xfId="0" applyNumberFormat="1" applyFont="1" applyBorder="1" applyAlignment="1">
      <alignment horizontal="left"/>
    </xf>
    <xf numFmtId="171" fontId="19" fillId="0" borderId="0" xfId="0" applyNumberFormat="1" applyFont="1"/>
    <xf numFmtId="0" fontId="20" fillId="0" borderId="5" xfId="0" applyFont="1" applyBorder="1" applyAlignment="1">
      <alignment horizontal="center"/>
    </xf>
    <xf numFmtId="0" fontId="20" fillId="0" borderId="4"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0" fontId="20" fillId="0" borderId="0" xfId="0" applyFont="1" applyBorder="1" applyAlignment="1">
      <alignment horizontal="center"/>
    </xf>
    <xf numFmtId="0" fontId="19" fillId="0" borderId="5" xfId="0" applyFont="1" applyBorder="1" applyAlignment="1">
      <alignment horizontal="center"/>
    </xf>
    <xf numFmtId="0" fontId="19" fillId="0" borderId="12" xfId="0" applyFont="1" applyBorder="1" applyAlignment="1">
      <alignment horizontal="center"/>
    </xf>
    <xf numFmtId="0" fontId="19" fillId="0" borderId="4" xfId="0" applyFont="1" applyBorder="1" applyAlignment="1">
      <alignment horizontal="center"/>
    </xf>
    <xf numFmtId="0" fontId="20" fillId="0" borderId="10" xfId="0" applyFont="1" applyBorder="1" applyAlignment="1">
      <alignment horizontal="center"/>
    </xf>
    <xf numFmtId="167" fontId="19" fillId="0" borderId="4" xfId="0" applyNumberFormat="1" applyFont="1" applyBorder="1"/>
    <xf numFmtId="0" fontId="20" fillId="0" borderId="11" xfId="0" applyFont="1" applyBorder="1"/>
    <xf numFmtId="0" fontId="20" fillId="0" borderId="9" xfId="0" applyFont="1" applyBorder="1"/>
    <xf numFmtId="0" fontId="23" fillId="0" borderId="0" xfId="0" applyFont="1"/>
    <xf numFmtId="0" fontId="20" fillId="5" borderId="0" xfId="0" applyFont="1" applyFill="1"/>
    <xf numFmtId="0" fontId="19" fillId="5" borderId="0" xfId="0" applyFont="1" applyFill="1"/>
    <xf numFmtId="172" fontId="19" fillId="5" borderId="0" xfId="0" applyNumberFormat="1" applyFont="1" applyFill="1"/>
    <xf numFmtId="172" fontId="19" fillId="5" borderId="0" xfId="0" applyNumberFormat="1" applyFont="1" applyFill="1" applyBorder="1" applyAlignment="1">
      <alignment horizontal="center"/>
    </xf>
    <xf numFmtId="172" fontId="19" fillId="5" borderId="2" xfId="0" applyNumberFormat="1" applyFont="1" applyFill="1" applyBorder="1" applyAlignment="1">
      <alignment horizontal="center"/>
    </xf>
    <xf numFmtId="0" fontId="22" fillId="0" borderId="0" xfId="0" applyFont="1" applyBorder="1"/>
    <xf numFmtId="0" fontId="24" fillId="0" borderId="0" xfId="0" applyFont="1" applyBorder="1"/>
    <xf numFmtId="0" fontId="24" fillId="0" borderId="0" xfId="0" applyFont="1"/>
    <xf numFmtId="171" fontId="19" fillId="0" borderId="11" xfId="0" applyNumberFormat="1" applyFont="1" applyBorder="1"/>
    <xf numFmtId="44" fontId="19" fillId="0" borderId="11" xfId="0" applyNumberFormat="1" applyFont="1" applyBorder="1"/>
    <xf numFmtId="0" fontId="19" fillId="0" borderId="11" xfId="0" applyFont="1" applyFill="1" applyBorder="1"/>
    <xf numFmtId="0" fontId="19" fillId="0" borderId="1" xfId="0" applyFont="1" applyFill="1" applyBorder="1"/>
    <xf numFmtId="172" fontId="19" fillId="0" borderId="3" xfId="0" applyNumberFormat="1" applyFont="1" applyFill="1" applyBorder="1"/>
    <xf numFmtId="0" fontId="19" fillId="0" borderId="26" xfId="0" applyFont="1" applyFill="1" applyBorder="1"/>
    <xf numFmtId="169" fontId="19" fillId="0" borderId="3" xfId="0" applyNumberFormat="1" applyFont="1" applyFill="1" applyBorder="1"/>
    <xf numFmtId="0" fontId="19" fillId="0" borderId="0" xfId="0" applyFont="1" applyFill="1" applyAlignment="1">
      <alignment horizontal="center"/>
    </xf>
    <xf numFmtId="171" fontId="20" fillId="5" borderId="10" xfId="0" applyNumberFormat="1" applyFont="1" applyFill="1" applyBorder="1"/>
    <xf numFmtId="171" fontId="20" fillId="5" borderId="25" xfId="0" applyNumberFormat="1" applyFont="1" applyFill="1" applyBorder="1"/>
    <xf numFmtId="171" fontId="19" fillId="0" borderId="5" xfId="0" applyNumberFormat="1" applyFont="1" applyBorder="1"/>
    <xf numFmtId="0" fontId="19" fillId="0" borderId="7" xfId="0" applyFont="1" applyBorder="1"/>
    <xf numFmtId="0" fontId="19" fillId="0" borderId="8" xfId="0" applyFont="1" applyBorder="1"/>
    <xf numFmtId="6" fontId="19" fillId="0" borderId="10" xfId="0" applyNumberFormat="1" applyFont="1" applyFill="1" applyBorder="1"/>
    <xf numFmtId="0" fontId="20" fillId="0" borderId="10" xfId="0" applyFont="1" applyBorder="1" applyAlignment="1">
      <alignment horizontal="center"/>
    </xf>
    <xf numFmtId="0" fontId="20" fillId="0" borderId="0"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0" fontId="20" fillId="0" borderId="5" xfId="0" applyFont="1" applyBorder="1" applyAlignment="1">
      <alignment horizontal="center"/>
    </xf>
    <xf numFmtId="0" fontId="20" fillId="0" borderId="4" xfId="0" applyFont="1" applyBorder="1" applyAlignment="1">
      <alignment horizontal="center"/>
    </xf>
    <xf numFmtId="0" fontId="19" fillId="0" borderId="12" xfId="0" applyFont="1" applyBorder="1" applyAlignment="1">
      <alignment horizontal="center"/>
    </xf>
    <xf numFmtId="0" fontId="19" fillId="0" borderId="4" xfId="0" applyFont="1" applyBorder="1" applyAlignment="1">
      <alignment horizontal="center"/>
    </xf>
    <xf numFmtId="0" fontId="19" fillId="0" borderId="5" xfId="0" applyFont="1" applyBorder="1" applyAlignment="1">
      <alignment horizontal="center"/>
    </xf>
    <xf numFmtId="172" fontId="19" fillId="6" borderId="0" xfId="0" applyNumberFormat="1" applyFont="1" applyFill="1" applyBorder="1" applyAlignment="1">
      <alignment horizontal="center"/>
    </xf>
    <xf numFmtId="167" fontId="19" fillId="6" borderId="10" xfId="0" applyNumberFormat="1" applyFont="1" applyFill="1" applyBorder="1" applyAlignment="1">
      <alignment horizontal="center"/>
    </xf>
    <xf numFmtId="167" fontId="21" fillId="6" borderId="10" xfId="0" applyNumberFormat="1" applyFont="1" applyFill="1" applyBorder="1" applyAlignment="1">
      <alignment horizontal="center"/>
    </xf>
    <xf numFmtId="172" fontId="19" fillId="6" borderId="5" xfId="0" applyNumberFormat="1" applyFont="1" applyFill="1" applyBorder="1"/>
    <xf numFmtId="172" fontId="19" fillId="6" borderId="2" xfId="0" applyNumberFormat="1" applyFont="1" applyFill="1" applyBorder="1"/>
    <xf numFmtId="0" fontId="19" fillId="6" borderId="2" xfId="0" applyFont="1" applyFill="1" applyBorder="1"/>
    <xf numFmtId="172" fontId="19" fillId="6" borderId="3" xfId="0" applyNumberFormat="1" applyFont="1" applyFill="1" applyBorder="1"/>
    <xf numFmtId="171" fontId="20" fillId="6" borderId="25" xfId="0" applyNumberFormat="1" applyFont="1" applyFill="1" applyBorder="1"/>
    <xf numFmtId="171" fontId="20" fillId="6" borderId="10" xfId="0" applyNumberFormat="1" applyFont="1" applyFill="1" applyBorder="1"/>
    <xf numFmtId="0" fontId="19" fillId="6" borderId="0" xfId="0" applyFont="1" applyFill="1"/>
    <xf numFmtId="167" fontId="19" fillId="6" borderId="2" xfId="0" applyNumberFormat="1" applyFont="1" applyFill="1" applyBorder="1"/>
    <xf numFmtId="37" fontId="19" fillId="6" borderId="2" xfId="0" applyNumberFormat="1" applyFont="1" applyFill="1" applyBorder="1"/>
    <xf numFmtId="172" fontId="19" fillId="6" borderId="10" xfId="0" applyNumberFormat="1" applyFont="1" applyFill="1" applyBorder="1"/>
    <xf numFmtId="0" fontId="25" fillId="0" borderId="0" xfId="0" applyFont="1" applyFill="1" applyAlignment="1"/>
    <xf numFmtId="0" fontId="26" fillId="0" borderId="0" xfId="0" applyFont="1" applyFill="1"/>
    <xf numFmtId="0" fontId="19" fillId="0" borderId="12" xfId="0" applyFont="1" applyBorder="1" applyAlignment="1">
      <alignment horizontal="center"/>
    </xf>
    <xf numFmtId="0" fontId="19" fillId="0" borderId="4" xfId="0" applyFont="1" applyBorder="1" applyAlignment="1">
      <alignment horizontal="center"/>
    </xf>
    <xf numFmtId="0" fontId="19" fillId="0" borderId="24" xfId="0" applyFont="1" applyBorder="1" applyAlignment="1">
      <alignment horizontal="center"/>
    </xf>
    <xf numFmtId="0" fontId="19" fillId="0" borderId="5" xfId="0" applyFont="1" applyBorder="1" applyAlignment="1">
      <alignment horizontal="center"/>
    </xf>
    <xf numFmtId="0" fontId="20" fillId="0" borderId="12" xfId="0" applyFont="1" applyBorder="1" applyAlignment="1">
      <alignment horizontal="center"/>
    </xf>
    <xf numFmtId="0" fontId="20" fillId="0" borderId="5" xfId="0" applyFont="1" applyBorder="1" applyAlignment="1">
      <alignment horizontal="center"/>
    </xf>
    <xf numFmtId="0" fontId="20" fillId="0" borderId="4" xfId="0" applyFont="1" applyBorder="1" applyAlignment="1">
      <alignment horizontal="center"/>
    </xf>
    <xf numFmtId="0" fontId="20" fillId="0" borderId="24" xfId="0" applyFont="1" applyBorder="1" applyAlignment="1">
      <alignment horizontal="center"/>
    </xf>
    <xf numFmtId="0" fontId="20" fillId="0" borderId="0" xfId="0" applyFont="1" applyBorder="1" applyAlignment="1">
      <alignment horizontal="center"/>
    </xf>
    <xf numFmtId="0" fontId="20" fillId="0" borderId="2" xfId="0"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19" fillId="0" borderId="10" xfId="0" applyFont="1" applyBorder="1" applyAlignment="1">
      <alignment horizontal="center" wrapText="1"/>
    </xf>
    <xf numFmtId="0" fontId="19" fillId="0" borderId="2" xfId="0" applyFont="1" applyBorder="1" applyAlignment="1">
      <alignment horizontal="center" wrapText="1"/>
    </xf>
    <xf numFmtId="0" fontId="20" fillId="0" borderId="9" xfId="0" applyFont="1" applyBorder="1" applyAlignment="1">
      <alignment horizontal="center"/>
    </xf>
    <xf numFmtId="0" fontId="20" fillId="0" borderId="23" xfId="0" applyFont="1" applyBorder="1" applyAlignment="1">
      <alignment horizontal="center"/>
    </xf>
    <xf numFmtId="0" fontId="20" fillId="0" borderId="10" xfId="0" applyFont="1" applyBorder="1" applyAlignment="1">
      <alignment horizontal="center"/>
    </xf>
    <xf numFmtId="0" fontId="19" fillId="0" borderId="10" xfId="0" applyFont="1" applyBorder="1" applyAlignment="1">
      <alignment horizontal="left"/>
    </xf>
    <xf numFmtId="0" fontId="19" fillId="0" borderId="0" xfId="0" applyFont="1" applyBorder="1" applyAlignment="1">
      <alignment horizontal="left"/>
    </xf>
    <xf numFmtId="0" fontId="19" fillId="0" borderId="10" xfId="0" applyFont="1" applyBorder="1" applyAlignment="1">
      <alignment horizontal="center"/>
    </xf>
    <xf numFmtId="0" fontId="19" fillId="0" borderId="0" xfId="0" applyFont="1" applyBorder="1" applyAlignment="1">
      <alignment horizontal="center"/>
    </xf>
    <xf numFmtId="0" fontId="19" fillId="5" borderId="10" xfId="0" applyFont="1" applyFill="1" applyBorder="1" applyAlignment="1">
      <alignment horizontal="center"/>
    </xf>
    <xf numFmtId="0" fontId="19" fillId="5" borderId="0" xfId="0" applyFont="1" applyFill="1" applyBorder="1" applyAlignment="1">
      <alignment horizontal="center"/>
    </xf>
    <xf numFmtId="0" fontId="9" fillId="0" borderId="0" xfId="0" applyFont="1" applyBorder="1" applyAlignment="1">
      <alignment horizontal="center"/>
    </xf>
    <xf numFmtId="0" fontId="9" fillId="0" borderId="19" xfId="0" applyFont="1" applyBorder="1" applyAlignment="1">
      <alignment horizontal="center"/>
    </xf>
  </cellXfs>
  <cellStyles count="7">
    <cellStyle name="Comma" xfId="6" builtinId="3"/>
    <cellStyle name="Heading" xfId="1"/>
    <cellStyle name="Heading1" xfId="2"/>
    <cellStyle name="Normal" xfId="0" builtinId="0" customBuiltin="1"/>
    <cellStyle name="Percent" xfId="5" builtinId="5"/>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wnAdmin/Documents/Water%20Resources/annual%20meetings/2018/FINAL%20FY2019%20Update%20of%20WSrate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9 Final Rate Sheet"/>
      <sheetName val="2017-18 pending final"/>
      <sheetName val="KC draft 2018"/>
      <sheetName val="2016-2017"/>
    </sheetNames>
    <sheetDataSet>
      <sheetData sheetId="0"/>
      <sheetData sheetId="1"/>
      <sheetData sheetId="2"/>
      <sheetData sheetId="3">
        <row r="15">
          <cell r="G15">
            <v>181300</v>
          </cell>
          <cell r="L15">
            <v>236453.99999999997</v>
          </cell>
        </row>
        <row r="22">
          <cell r="G22">
            <v>78624</v>
          </cell>
          <cell r="L22">
            <v>103152</v>
          </cell>
        </row>
        <row r="29">
          <cell r="G29">
            <v>29114</v>
          </cell>
          <cell r="L29">
            <v>38208</v>
          </cell>
        </row>
        <row r="57">
          <cell r="G57">
            <v>307618</v>
          </cell>
        </row>
        <row r="68">
          <cell r="G68">
            <v>307618</v>
          </cell>
          <cell r="L68">
            <v>573049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6"/>
  <sheetViews>
    <sheetView tabSelected="1" topLeftCell="A85" zoomScaleNormal="100" workbookViewId="0">
      <selection activeCell="G107" sqref="G107"/>
    </sheetView>
  </sheetViews>
  <sheetFormatPr defaultRowHeight="15"/>
  <cols>
    <col min="1" max="1" width="12.125" style="164" customWidth="1"/>
    <col min="2" max="2" width="11.75" style="164" customWidth="1"/>
    <col min="3" max="3" width="12" style="164" customWidth="1"/>
    <col min="4" max="4" width="12.625" style="164" customWidth="1"/>
    <col min="5" max="5" width="17.75" style="164" bestFit="1" customWidth="1"/>
    <col min="6" max="6" width="17.75" style="164" customWidth="1"/>
    <col min="7" max="7" width="15.875" style="164" bestFit="1" customWidth="1"/>
    <col min="8" max="8" width="11.75" style="164" bestFit="1" customWidth="1"/>
    <col min="9" max="9" width="12.625" style="164" bestFit="1" customWidth="1"/>
    <col min="10" max="10" width="11.375" style="164" customWidth="1"/>
    <col min="11" max="11" width="8.625" style="164" customWidth="1"/>
    <col min="12" max="12" width="12" style="164" bestFit="1" customWidth="1"/>
    <col min="13" max="13" width="12.625" style="164" bestFit="1" customWidth="1"/>
    <col min="14" max="14" width="11.625" style="164" bestFit="1" customWidth="1"/>
    <col min="15" max="15" width="10.625" style="165" customWidth="1"/>
    <col min="16" max="16" width="10.25" style="165" customWidth="1"/>
    <col min="17" max="21" width="8.625" style="165" customWidth="1"/>
    <col min="22" max="22" width="9.375" style="165" customWidth="1"/>
    <col min="23" max="23" width="8.125" style="165" customWidth="1"/>
    <col min="24" max="16384" width="9" style="164"/>
  </cols>
  <sheetData>
    <row r="1" spans="1:16" s="164" customFormat="1" ht="33.75">
      <c r="A1" s="332" t="s">
        <v>211</v>
      </c>
      <c r="B1" s="189"/>
      <c r="C1" s="189"/>
      <c r="D1" s="189"/>
      <c r="O1" s="165"/>
      <c r="P1" s="165"/>
    </row>
    <row r="2" spans="1:16" s="164" customFormat="1">
      <c r="A2" s="166" t="s">
        <v>199</v>
      </c>
      <c r="O2" s="165"/>
      <c r="P2" s="165"/>
    </row>
    <row r="3" spans="1:16">
      <c r="A3" s="328" t="s">
        <v>206</v>
      </c>
      <c r="B3" s="328"/>
      <c r="C3" s="328"/>
    </row>
    <row r="6" spans="1:16" s="164" customFormat="1" ht="23.25">
      <c r="A6" s="294" t="s">
        <v>131</v>
      </c>
      <c r="B6" s="170"/>
      <c r="C6" s="170"/>
      <c r="D6" s="170"/>
      <c r="E6" s="170"/>
      <c r="F6" s="170"/>
      <c r="G6" s="170"/>
      <c r="O6" s="165"/>
      <c r="P6" s="165"/>
    </row>
    <row r="7" spans="1:16" s="164" customFormat="1" ht="23.25">
      <c r="A7" s="293"/>
      <c r="B7" s="170"/>
      <c r="C7" s="170"/>
      <c r="D7" s="170"/>
      <c r="E7" s="170"/>
      <c r="F7" s="170"/>
      <c r="G7" s="170"/>
      <c r="O7" s="165"/>
      <c r="P7" s="165"/>
    </row>
    <row r="8" spans="1:16" s="164" customFormat="1">
      <c r="A8" s="180"/>
      <c r="B8" s="169"/>
      <c r="C8" s="169"/>
      <c r="D8" s="315" t="s">
        <v>2</v>
      </c>
      <c r="E8" s="315" t="s">
        <v>26</v>
      </c>
      <c r="F8" s="314" t="s">
        <v>136</v>
      </c>
      <c r="O8" s="165"/>
      <c r="P8" s="165"/>
    </row>
    <row r="9" spans="1:16" s="164" customFormat="1">
      <c r="A9" s="353" t="s">
        <v>135</v>
      </c>
      <c r="B9" s="354"/>
      <c r="C9" s="170"/>
      <c r="D9" s="178">
        <v>357985</v>
      </c>
      <c r="E9" s="178">
        <v>600152</v>
      </c>
      <c r="F9" s="179">
        <f>D9+E9</f>
        <v>958137</v>
      </c>
      <c r="O9" s="165"/>
      <c r="P9" s="165"/>
    </row>
    <row r="10" spans="1:16" s="164" customFormat="1">
      <c r="A10" s="355" t="s">
        <v>200</v>
      </c>
      <c r="B10" s="356"/>
      <c r="C10" s="232"/>
      <c r="D10" s="319">
        <v>358965</v>
      </c>
      <c r="E10" s="319">
        <v>606387</v>
      </c>
      <c r="F10" s="292">
        <f>D10+E10</f>
        <v>965352</v>
      </c>
      <c r="O10" s="165"/>
      <c r="P10" s="165"/>
    </row>
    <row r="11" spans="1:16" s="164" customFormat="1">
      <c r="A11" s="190" t="s">
        <v>201</v>
      </c>
      <c r="B11" s="191"/>
      <c r="C11" s="170"/>
      <c r="D11" s="178">
        <f>D10-D9</f>
        <v>980</v>
      </c>
      <c r="E11" s="178">
        <f>E10-E9</f>
        <v>6235</v>
      </c>
      <c r="F11" s="179">
        <f>D11+E11</f>
        <v>7215</v>
      </c>
      <c r="O11" s="165"/>
      <c r="P11" s="165"/>
    </row>
    <row r="12" spans="1:16" s="164" customFormat="1">
      <c r="A12" s="192" t="s">
        <v>202</v>
      </c>
      <c r="B12" s="193"/>
      <c r="C12" s="186"/>
      <c r="D12" s="175">
        <f>D11/D9</f>
        <v>2.73754486919843E-3</v>
      </c>
      <c r="E12" s="175">
        <f>E11/E9</f>
        <v>1.0389034777856276E-2</v>
      </c>
      <c r="F12" s="176">
        <f>F11/F9</f>
        <v>7.5302383688345192E-3</v>
      </c>
      <c r="O12" s="165"/>
      <c r="P12" s="165"/>
    </row>
    <row r="14" spans="1:16" s="164" customFormat="1" ht="23.25">
      <c r="A14" s="295" t="s">
        <v>193</v>
      </c>
      <c r="O14" s="165"/>
      <c r="P14" s="165"/>
    </row>
    <row r="15" spans="1:16" s="164" customFormat="1" ht="23.25">
      <c r="A15" s="272"/>
      <c r="J15" s="274"/>
      <c r="O15" s="165"/>
      <c r="P15" s="165"/>
    </row>
    <row r="16" spans="1:16" s="164" customFormat="1" ht="18.75">
      <c r="A16" s="287" t="s">
        <v>188</v>
      </c>
      <c r="N16" s="165"/>
      <c r="O16" s="165"/>
    </row>
    <row r="17" spans="1:16" s="164" customFormat="1" ht="18.75">
      <c r="A17" s="287"/>
      <c r="N17" s="165"/>
      <c r="O17" s="165"/>
    </row>
    <row r="18" spans="1:16" s="164" customFormat="1">
      <c r="A18" s="286" t="s">
        <v>194</v>
      </c>
      <c r="B18" s="307"/>
      <c r="C18" s="307"/>
      <c r="D18" s="308"/>
      <c r="N18" s="165"/>
      <c r="O18" s="165"/>
    </row>
    <row r="19" spans="1:16" s="164" customFormat="1">
      <c r="A19" s="180" t="s">
        <v>197</v>
      </c>
      <c r="B19" s="169"/>
      <c r="C19" s="169"/>
      <c r="D19" s="169"/>
      <c r="E19" s="169"/>
      <c r="F19" s="306">
        <f>SUM(J91)*1.15</f>
        <v>680.43065881584562</v>
      </c>
      <c r="N19" s="165"/>
      <c r="O19" s="165"/>
    </row>
    <row r="20" spans="1:16" s="164" customFormat="1">
      <c r="A20" s="171" t="s">
        <v>195</v>
      </c>
      <c r="B20" s="170"/>
      <c r="C20" s="170"/>
      <c r="D20" s="170"/>
      <c r="E20" s="170"/>
      <c r="F20" s="200">
        <f>SUM(D91)*0.5</f>
        <v>318.2847986187241</v>
      </c>
      <c r="N20" s="165"/>
      <c r="O20" s="165"/>
    </row>
    <row r="21" spans="1:16" s="164" customFormat="1">
      <c r="A21" s="174" t="s">
        <v>196</v>
      </c>
      <c r="B21" s="186"/>
      <c r="C21" s="186"/>
      <c r="D21" s="186"/>
      <c r="E21" s="186"/>
      <c r="F21" s="201">
        <f>SUM(J91)*0.5</f>
        <v>295.83941687645466</v>
      </c>
      <c r="N21" s="165"/>
      <c r="O21" s="165"/>
    </row>
    <row r="22" spans="1:16" s="164" customFormat="1">
      <c r="N22" s="165"/>
      <c r="O22" s="165"/>
    </row>
    <row r="23" spans="1:16" s="164" customFormat="1">
      <c r="A23" s="167"/>
      <c r="D23" s="348" t="s">
        <v>2</v>
      </c>
      <c r="E23" s="344"/>
      <c r="F23" s="344"/>
      <c r="G23" s="344"/>
      <c r="H23" s="344"/>
      <c r="I23" s="344"/>
      <c r="J23" s="349" t="s">
        <v>26</v>
      </c>
      <c r="K23" s="344"/>
      <c r="L23" s="344"/>
      <c r="M23" s="344"/>
      <c r="N23" s="344"/>
      <c r="O23" s="345"/>
    </row>
    <row r="24" spans="1:16" s="164" customFormat="1">
      <c r="A24" s="167"/>
      <c r="D24" s="338" t="s">
        <v>200</v>
      </c>
      <c r="E24" s="339"/>
      <c r="F24" s="338" t="s">
        <v>135</v>
      </c>
      <c r="G24" s="339"/>
      <c r="H24" s="338" t="s">
        <v>205</v>
      </c>
      <c r="I24" s="340"/>
      <c r="J24" s="341" t="s">
        <v>200</v>
      </c>
      <c r="K24" s="339"/>
      <c r="L24" s="338" t="s">
        <v>135</v>
      </c>
      <c r="M24" s="339"/>
      <c r="N24" s="338" t="s">
        <v>205</v>
      </c>
      <c r="O24" s="339"/>
    </row>
    <row r="25" spans="1:16" s="164" customFormat="1" ht="30">
      <c r="A25" s="167"/>
      <c r="D25" s="235" t="s">
        <v>145</v>
      </c>
      <c r="E25" s="181" t="s">
        <v>151</v>
      </c>
      <c r="F25" s="235" t="s">
        <v>145</v>
      </c>
      <c r="G25" s="181" t="s">
        <v>151</v>
      </c>
      <c r="H25" s="235" t="s">
        <v>154</v>
      </c>
      <c r="I25" s="221" t="s">
        <v>155</v>
      </c>
      <c r="J25" s="249" t="s">
        <v>145</v>
      </c>
      <c r="K25" s="181" t="s">
        <v>151</v>
      </c>
      <c r="L25" s="235" t="s">
        <v>145</v>
      </c>
      <c r="M25" s="181" t="s">
        <v>151</v>
      </c>
      <c r="N25" s="235" t="s">
        <v>154</v>
      </c>
      <c r="O25" s="222" t="s">
        <v>155</v>
      </c>
    </row>
    <row r="26" spans="1:16" s="164" customFormat="1">
      <c r="A26" s="168" t="s">
        <v>14</v>
      </c>
      <c r="B26" s="169"/>
      <c r="C26" s="169"/>
      <c r="D26" s="180"/>
      <c r="E26" s="177"/>
      <c r="F26" s="180"/>
      <c r="G26" s="177"/>
      <c r="H26" s="180"/>
      <c r="I26" s="169"/>
      <c r="J26" s="253"/>
      <c r="K26" s="177"/>
      <c r="L26" s="180"/>
      <c r="M26" s="177"/>
      <c r="N26" s="316"/>
      <c r="O26" s="318"/>
      <c r="P26" s="165"/>
    </row>
    <row r="27" spans="1:16" s="164" customFormat="1">
      <c r="A27" s="171"/>
      <c r="B27" s="170" t="s">
        <v>145</v>
      </c>
      <c r="C27" s="170"/>
      <c r="D27" s="171"/>
      <c r="E27" s="181"/>
      <c r="F27" s="171"/>
      <c r="G27" s="181"/>
      <c r="H27" s="171"/>
      <c r="I27" s="170"/>
      <c r="J27" s="326">
        <v>680.45</v>
      </c>
      <c r="K27" s="234">
        <f>SUM(J59*J27)</f>
        <v>680.45</v>
      </c>
      <c r="L27" s="216">
        <f>SUM('FY20 Final'!J27)</f>
        <v>646.95000000000005</v>
      </c>
      <c r="M27" s="234">
        <f>SUM('FY20 Final'!K27)</f>
        <v>646.95000000000005</v>
      </c>
      <c r="N27" s="244">
        <f>SUM(J27-L27)</f>
        <v>33.5</v>
      </c>
      <c r="O27" s="240">
        <f>SUM(N27/L27)</f>
        <v>5.1781435968776567E-2</v>
      </c>
    </row>
    <row r="28" spans="1:16" s="164" customFormat="1">
      <c r="A28" s="171"/>
      <c r="B28" s="170" t="s">
        <v>158</v>
      </c>
      <c r="C28" s="170"/>
      <c r="D28" s="171"/>
      <c r="E28" s="181"/>
      <c r="F28" s="171"/>
      <c r="G28" s="181"/>
      <c r="H28" s="171"/>
      <c r="I28" s="170"/>
      <c r="J28" s="254"/>
      <c r="K28" s="234">
        <f>SUM(K29-K27)</f>
        <v>6019.55</v>
      </c>
      <c r="L28" s="216"/>
      <c r="M28" s="234">
        <f>SUM('FY20 Final'!K28)</f>
        <v>1853</v>
      </c>
      <c r="N28" s="312"/>
      <c r="O28" s="184"/>
    </row>
    <row r="29" spans="1:16" s="164" customFormat="1">
      <c r="A29" s="174"/>
      <c r="B29" s="228" t="s">
        <v>160</v>
      </c>
      <c r="C29" s="228"/>
      <c r="D29" s="229"/>
      <c r="E29" s="231"/>
      <c r="F29" s="229"/>
      <c r="G29" s="231"/>
      <c r="H29" s="229"/>
      <c r="I29" s="228"/>
      <c r="J29" s="252"/>
      <c r="K29" s="325">
        <v>6700</v>
      </c>
      <c r="L29" s="243"/>
      <c r="M29" s="238">
        <f>SUM(M27:M28)</f>
        <v>2499.9499999999998</v>
      </c>
      <c r="N29" s="245"/>
      <c r="O29" s="242"/>
    </row>
    <row r="30" spans="1:16" s="164" customFormat="1">
      <c r="A30" s="241" t="s">
        <v>159</v>
      </c>
      <c r="B30" s="170"/>
      <c r="C30" s="170"/>
      <c r="D30" s="171"/>
      <c r="E30" s="273"/>
      <c r="F30" s="171"/>
      <c r="G30" s="181"/>
      <c r="H30" s="171"/>
      <c r="I30" s="170"/>
      <c r="J30" s="254"/>
      <c r="K30" s="234"/>
      <c r="L30" s="171"/>
      <c r="M30" s="234"/>
      <c r="N30" s="312"/>
      <c r="O30" s="184"/>
    </row>
    <row r="31" spans="1:16" s="164" customFormat="1">
      <c r="A31" s="171"/>
      <c r="B31" s="170" t="s">
        <v>145</v>
      </c>
      <c r="C31" s="170"/>
      <c r="D31" s="327">
        <v>318.29000000000002</v>
      </c>
      <c r="E31" s="234">
        <f>SUM(D31*F60)</f>
        <v>1273.1600000000001</v>
      </c>
      <c r="F31" s="216">
        <f>SUM('FY20 Final'!D31)</f>
        <v>297.36</v>
      </c>
      <c r="G31" s="234">
        <f>SUM('FY20 Final'!E31)</f>
        <v>1486.8000000000002</v>
      </c>
      <c r="H31" s="216">
        <f>SUM(D31-F31)</f>
        <v>20.930000000000007</v>
      </c>
      <c r="I31" s="182">
        <f>SUM(H31/F31)</f>
        <v>7.038606403013184E-2</v>
      </c>
      <c r="J31" s="326">
        <v>295.85000000000002</v>
      </c>
      <c r="K31" s="234">
        <f>SUM(J31*J60)</f>
        <v>887.55000000000007</v>
      </c>
      <c r="L31" s="216">
        <f>SUM('FY20 Final'!J31)</f>
        <v>281.27999999999997</v>
      </c>
      <c r="M31" s="234">
        <f>SUM('FY20 Final'!K31)</f>
        <v>1125.1199999999999</v>
      </c>
      <c r="N31" s="244">
        <f>SUM(J31-L31)</f>
        <v>14.57000000000005</v>
      </c>
      <c r="O31" s="240">
        <f>SUM(N31/L31)</f>
        <v>5.1798919226393812E-2</v>
      </c>
    </row>
    <row r="32" spans="1:16" s="164" customFormat="1">
      <c r="A32" s="174"/>
      <c r="B32" s="228" t="s">
        <v>160</v>
      </c>
      <c r="C32" s="228"/>
      <c r="D32" s="229"/>
      <c r="E32" s="238">
        <f>SUM(E31)</f>
        <v>1273.1600000000001</v>
      </c>
      <c r="F32" s="243"/>
      <c r="G32" s="238">
        <f>SUM(G31)</f>
        <v>1486.8000000000002</v>
      </c>
      <c r="H32" s="229"/>
      <c r="I32" s="228"/>
      <c r="J32" s="252"/>
      <c r="K32" s="238">
        <f>SUM(K31)</f>
        <v>887.55000000000007</v>
      </c>
      <c r="L32" s="243"/>
      <c r="M32" s="238">
        <f>SUM(M31)</f>
        <v>1125.1199999999999</v>
      </c>
      <c r="N32" s="245"/>
      <c r="O32" s="242"/>
    </row>
    <row r="33" spans="1:16" s="164" customFormat="1">
      <c r="D33" s="274"/>
      <c r="E33" s="188"/>
      <c r="G33" s="188"/>
      <c r="K33" s="188"/>
      <c r="M33" s="188"/>
      <c r="N33" s="165"/>
      <c r="O33" s="165"/>
    </row>
    <row r="34" spans="1:16" s="164" customFormat="1" ht="18.75">
      <c r="A34" s="287" t="s">
        <v>179</v>
      </c>
      <c r="D34" s="348" t="s">
        <v>2</v>
      </c>
      <c r="E34" s="344"/>
      <c r="F34" s="344"/>
      <c r="G34" s="344"/>
      <c r="H34" s="344"/>
      <c r="I34" s="344"/>
      <c r="J34" s="349" t="s">
        <v>26</v>
      </c>
      <c r="K34" s="344"/>
      <c r="L34" s="344"/>
      <c r="M34" s="344"/>
      <c r="N34" s="344"/>
      <c r="O34" s="345"/>
    </row>
    <row r="35" spans="1:16" s="164" customFormat="1">
      <c r="B35" s="170"/>
      <c r="C35" s="170"/>
      <c r="D35" s="338" t="s">
        <v>200</v>
      </c>
      <c r="E35" s="339"/>
      <c r="F35" s="338" t="s">
        <v>135</v>
      </c>
      <c r="G35" s="339"/>
      <c r="H35" s="210"/>
      <c r="I35" s="211"/>
      <c r="J35" s="341" t="s">
        <v>200</v>
      </c>
      <c r="K35" s="339"/>
      <c r="L35" s="338" t="s">
        <v>204</v>
      </c>
      <c r="M35" s="339"/>
      <c r="N35" s="313"/>
      <c r="O35" s="184"/>
    </row>
    <row r="36" spans="1:16" s="164" customFormat="1">
      <c r="B36" s="170"/>
      <c r="C36" s="170"/>
      <c r="D36" s="171"/>
      <c r="E36" s="181" t="s">
        <v>151</v>
      </c>
      <c r="F36" s="171"/>
      <c r="G36" s="181" t="s">
        <v>151</v>
      </c>
      <c r="H36" s="221"/>
      <c r="I36" s="221"/>
      <c r="J36" s="254"/>
      <c r="K36" s="181" t="s">
        <v>151</v>
      </c>
      <c r="L36" s="171"/>
      <c r="M36" s="181" t="s">
        <v>151</v>
      </c>
      <c r="N36" s="313"/>
      <c r="O36" s="184"/>
    </row>
    <row r="37" spans="1:16" s="164" customFormat="1">
      <c r="A37" s="180"/>
      <c r="B37" s="169" t="s">
        <v>161</v>
      </c>
      <c r="C37" s="169"/>
      <c r="D37" s="180"/>
      <c r="E37" s="322">
        <v>1500</v>
      </c>
      <c r="F37" s="180"/>
      <c r="G37" s="247">
        <v>1500</v>
      </c>
      <c r="H37" s="246"/>
      <c r="I37" s="185"/>
      <c r="J37" s="253"/>
      <c r="K37" s="322"/>
      <c r="L37" s="180"/>
      <c r="M37" s="247"/>
      <c r="N37" s="313"/>
      <c r="O37" s="184"/>
    </row>
    <row r="38" spans="1:16" s="164" customFormat="1">
      <c r="A38" s="171"/>
      <c r="B38" s="170" t="s">
        <v>162</v>
      </c>
      <c r="C38" s="170"/>
      <c r="D38" s="171"/>
      <c r="E38" s="323">
        <v>49641</v>
      </c>
      <c r="F38" s="217"/>
      <c r="G38" s="187">
        <v>50300</v>
      </c>
      <c r="H38" s="215"/>
      <c r="I38" s="182"/>
      <c r="J38" s="254"/>
      <c r="K38" s="323"/>
      <c r="L38" s="171"/>
      <c r="M38" s="234"/>
      <c r="N38" s="313"/>
      <c r="O38" s="184"/>
    </row>
    <row r="39" spans="1:16" s="164" customFormat="1">
      <c r="A39" s="171"/>
      <c r="B39" s="170" t="s">
        <v>180</v>
      </c>
      <c r="C39" s="170"/>
      <c r="D39" s="171"/>
      <c r="E39" s="324"/>
      <c r="F39" s="171"/>
      <c r="G39" s="181"/>
      <c r="H39" s="215"/>
      <c r="I39" s="182"/>
      <c r="J39" s="254"/>
      <c r="K39" s="323">
        <v>190000</v>
      </c>
      <c r="L39" s="171"/>
      <c r="M39" s="234">
        <v>190000</v>
      </c>
      <c r="N39" s="313"/>
      <c r="O39" s="184"/>
    </row>
    <row r="40" spans="1:16" s="164" customFormat="1">
      <c r="A40" s="171"/>
      <c r="B40" s="170" t="s">
        <v>181</v>
      </c>
      <c r="C40" s="170"/>
      <c r="D40" s="171"/>
      <c r="E40" s="323"/>
      <c r="F40" s="233"/>
      <c r="G40" s="234">
        <v>0</v>
      </c>
      <c r="H40" s="215"/>
      <c r="I40" s="182"/>
      <c r="J40" s="255"/>
      <c r="K40" s="323"/>
      <c r="L40" s="233"/>
      <c r="M40" s="234">
        <v>0</v>
      </c>
      <c r="N40" s="313"/>
      <c r="O40" s="184"/>
    </row>
    <row r="41" spans="1:16" s="164" customFormat="1">
      <c r="A41" s="171"/>
      <c r="B41" s="170" t="s">
        <v>163</v>
      </c>
      <c r="C41" s="170"/>
      <c r="D41" s="171"/>
      <c r="E41" s="323">
        <v>500</v>
      </c>
      <c r="F41" s="233"/>
      <c r="G41" s="234">
        <v>500</v>
      </c>
      <c r="H41" s="215"/>
      <c r="I41" s="182"/>
      <c r="J41" s="255"/>
      <c r="K41" s="323">
        <v>1000</v>
      </c>
      <c r="L41" s="233"/>
      <c r="M41" s="234">
        <v>1000</v>
      </c>
      <c r="N41" s="313"/>
      <c r="O41" s="184"/>
    </row>
    <row r="42" spans="1:16" s="164" customFormat="1">
      <c r="A42" s="171"/>
      <c r="B42" s="170" t="s">
        <v>182</v>
      </c>
      <c r="C42" s="170"/>
      <c r="D42" s="171"/>
      <c r="E42" s="323"/>
      <c r="F42" s="233"/>
      <c r="G42" s="234">
        <v>0</v>
      </c>
      <c r="H42" s="215"/>
      <c r="I42" s="182"/>
      <c r="J42" s="255"/>
      <c r="K42" s="323"/>
      <c r="L42" s="233"/>
      <c r="M42" s="234">
        <v>0</v>
      </c>
      <c r="N42" s="313"/>
      <c r="O42" s="184"/>
    </row>
    <row r="43" spans="1:16" s="164" customFormat="1">
      <c r="A43" s="171"/>
      <c r="B43" s="170" t="s">
        <v>164</v>
      </c>
      <c r="C43" s="170"/>
      <c r="D43" s="171"/>
      <c r="E43" s="323">
        <v>1500</v>
      </c>
      <c r="F43" s="233"/>
      <c r="G43" s="234">
        <v>1500</v>
      </c>
      <c r="H43" s="215"/>
      <c r="I43" s="182"/>
      <c r="J43" s="255"/>
      <c r="K43" s="323">
        <v>3500</v>
      </c>
      <c r="L43" s="233"/>
      <c r="M43" s="234">
        <v>3500</v>
      </c>
      <c r="N43" s="313"/>
      <c r="O43" s="184"/>
    </row>
    <row r="44" spans="1:16" s="164" customFormat="1">
      <c r="A44" s="171"/>
      <c r="B44" s="170"/>
      <c r="C44" s="170"/>
      <c r="D44" s="171"/>
      <c r="E44" s="324"/>
      <c r="F44" s="171"/>
      <c r="G44" s="181"/>
      <c r="H44" s="170"/>
      <c r="I44" s="170"/>
      <c r="J44" s="254"/>
      <c r="K44" s="324"/>
      <c r="L44" s="171"/>
      <c r="M44" s="181"/>
      <c r="N44" s="313"/>
      <c r="O44" s="184"/>
    </row>
    <row r="45" spans="1:16" s="164" customFormat="1">
      <c r="A45" s="174"/>
      <c r="B45" s="228" t="s">
        <v>165</v>
      </c>
      <c r="C45" s="228"/>
      <c r="D45" s="229"/>
      <c r="E45" s="238">
        <f>SUM(E37:E43)</f>
        <v>53141</v>
      </c>
      <c r="F45" s="248"/>
      <c r="G45" s="238">
        <f>SUM(G37:G43)</f>
        <v>53800</v>
      </c>
      <c r="H45" s="230"/>
      <c r="I45" s="230"/>
      <c r="J45" s="256"/>
      <c r="K45" s="238">
        <f>SUM(K37:K43)</f>
        <v>194500</v>
      </c>
      <c r="L45" s="248"/>
      <c r="M45" s="238">
        <f>SUM(M37:M43)</f>
        <v>194500</v>
      </c>
      <c r="N45" s="257"/>
      <c r="O45" s="258"/>
    </row>
    <row r="47" spans="1:16" s="164" customFormat="1">
      <c r="A47" s="288" t="s">
        <v>189</v>
      </c>
      <c r="B47" s="289"/>
      <c r="C47" s="289"/>
      <c r="D47" s="289"/>
      <c r="E47" s="290">
        <f>SUM(E29+E32+E45)</f>
        <v>54414.16</v>
      </c>
      <c r="F47" s="290"/>
      <c r="G47" s="290">
        <f>SUM(G29+G32+G45)</f>
        <v>55286.8</v>
      </c>
      <c r="H47" s="290"/>
      <c r="I47" s="290"/>
      <c r="J47" s="290"/>
      <c r="K47" s="290">
        <f>SUM(K29+K32+K45)</f>
        <v>202087.55</v>
      </c>
      <c r="L47" s="290"/>
      <c r="M47" s="290">
        <f>SUM(M29+M32+M45)</f>
        <v>198125.07</v>
      </c>
      <c r="O47" s="165"/>
      <c r="P47" s="165"/>
    </row>
    <row r="48" spans="1:16" s="164" customFormat="1">
      <c r="A48" s="288" t="s">
        <v>190</v>
      </c>
      <c r="B48" s="289"/>
      <c r="C48" s="289"/>
      <c r="D48" s="289"/>
      <c r="E48" s="290">
        <f>SUM(D10-E47)</f>
        <v>304550.83999999997</v>
      </c>
      <c r="F48" s="289"/>
      <c r="G48" s="290">
        <f>SUM(D9-G47)</f>
        <v>302698.2</v>
      </c>
      <c r="H48" s="289"/>
      <c r="I48" s="289"/>
      <c r="J48" s="289"/>
      <c r="K48" s="290">
        <f>SUM(E10-K47)</f>
        <v>404299.45</v>
      </c>
      <c r="L48" s="289"/>
      <c r="M48" s="290">
        <f>SUM(E9-M47)</f>
        <v>402026.93</v>
      </c>
      <c r="O48" s="165"/>
      <c r="P48" s="165"/>
    </row>
    <row r="50" spans="1:12" s="164" customFormat="1" ht="23.25">
      <c r="A50" s="295" t="s">
        <v>192</v>
      </c>
    </row>
    <row r="51" spans="1:12" s="164" customFormat="1">
      <c r="A51" s="191"/>
      <c r="B51" s="191"/>
      <c r="C51" s="170"/>
      <c r="D51" s="172"/>
      <c r="E51" s="172"/>
      <c r="F51" s="172"/>
      <c r="G51" s="172"/>
    </row>
    <row r="52" spans="1:12" s="164" customFormat="1">
      <c r="A52" s="194" t="s">
        <v>139</v>
      </c>
      <c r="B52" s="170"/>
      <c r="C52" s="170"/>
      <c r="D52" s="170"/>
      <c r="E52" s="170"/>
      <c r="F52" s="170"/>
    </row>
    <row r="53" spans="1:12" s="164" customFormat="1">
      <c r="A53" s="194"/>
      <c r="B53" s="170"/>
      <c r="C53" s="348" t="s">
        <v>2</v>
      </c>
      <c r="D53" s="344"/>
      <c r="E53" s="344"/>
      <c r="F53" s="345"/>
      <c r="G53" s="348" t="s">
        <v>26</v>
      </c>
      <c r="H53" s="344"/>
      <c r="I53" s="344"/>
      <c r="J53" s="345"/>
    </row>
    <row r="54" spans="1:12" s="164" customFormat="1" ht="60">
      <c r="A54" s="180"/>
      <c r="B54" s="169"/>
      <c r="C54" s="350"/>
      <c r="D54" s="342"/>
      <c r="E54" s="204" t="s">
        <v>172</v>
      </c>
      <c r="F54" s="181"/>
      <c r="G54" s="210"/>
      <c r="H54" s="211"/>
      <c r="I54" s="204" t="s">
        <v>172</v>
      </c>
      <c r="J54" s="181"/>
    </row>
    <row r="55" spans="1:12" s="164" customFormat="1">
      <c r="A55" s="171"/>
      <c r="B55" s="170"/>
      <c r="C55" s="310" t="s">
        <v>140</v>
      </c>
      <c r="D55" s="311" t="s">
        <v>141</v>
      </c>
      <c r="E55" s="220">
        <v>0.98</v>
      </c>
      <c r="F55" s="205" t="s">
        <v>148</v>
      </c>
      <c r="G55" s="310" t="s">
        <v>140</v>
      </c>
      <c r="H55" s="311" t="s">
        <v>141</v>
      </c>
      <c r="I55" s="220">
        <v>0.98</v>
      </c>
      <c r="J55" s="219" t="s">
        <v>148</v>
      </c>
    </row>
    <row r="56" spans="1:12" s="164" customFormat="1">
      <c r="A56" s="171" t="s">
        <v>43</v>
      </c>
      <c r="B56" s="170"/>
      <c r="C56" s="320">
        <v>9351600</v>
      </c>
      <c r="D56" s="172">
        <f>C56/C$61</f>
        <v>0.53775733179988494</v>
      </c>
      <c r="E56" s="202">
        <f>SUM(C56*$E$55)</f>
        <v>9164568</v>
      </c>
      <c r="F56" s="329">
        <v>418</v>
      </c>
      <c r="G56" s="320">
        <v>9272600</v>
      </c>
      <c r="H56" s="172">
        <f>G56/G$61</f>
        <v>0.66886433146748225</v>
      </c>
      <c r="I56" s="202">
        <f>SUM(G56*$E$55)</f>
        <v>9087148</v>
      </c>
      <c r="J56" s="324">
        <v>415</v>
      </c>
    </row>
    <row r="57" spans="1:12" s="164" customFormat="1">
      <c r="A57" s="351" t="s">
        <v>132</v>
      </c>
      <c r="B57" s="352"/>
      <c r="C57" s="320">
        <v>7099700</v>
      </c>
      <c r="D57" s="173">
        <f>C57/C$61</f>
        <v>0.40826336975273148</v>
      </c>
      <c r="E57" s="202">
        <f t="shared" ref="E57:E61" si="0">SUM(C57*$E$55)</f>
        <v>6957706</v>
      </c>
      <c r="F57" s="329">
        <v>74</v>
      </c>
      <c r="G57" s="321">
        <v>3651900</v>
      </c>
      <c r="H57" s="173">
        <f>G57/G$61</f>
        <v>0.2634240290841941</v>
      </c>
      <c r="I57" s="202">
        <f t="shared" ref="I57:I61" si="1">SUM(G57*$E$55)</f>
        <v>3578862</v>
      </c>
      <c r="J57" s="324">
        <v>72</v>
      </c>
    </row>
    <row r="58" spans="1:12" s="164" customFormat="1">
      <c r="A58" s="171" t="s">
        <v>133</v>
      </c>
      <c r="B58" s="170"/>
      <c r="C58" s="320">
        <v>938700</v>
      </c>
      <c r="D58" s="172">
        <f>C58/C$61</f>
        <v>5.3979298447383556E-2</v>
      </c>
      <c r="E58" s="202">
        <f t="shared" si="0"/>
        <v>919926</v>
      </c>
      <c r="F58" s="329">
        <v>3</v>
      </c>
      <c r="G58" s="320">
        <v>938700</v>
      </c>
      <c r="H58" s="172">
        <f>G58/G$61</f>
        <v>6.7711639448323618E-2</v>
      </c>
      <c r="I58" s="202">
        <f t="shared" si="1"/>
        <v>919926</v>
      </c>
      <c r="J58" s="324">
        <v>3</v>
      </c>
    </row>
    <row r="59" spans="1:12" s="164" customFormat="1">
      <c r="A59" s="171" t="s">
        <v>14</v>
      </c>
      <c r="B59" s="170"/>
      <c r="C59" s="206"/>
      <c r="D59" s="172"/>
      <c r="E59" s="202"/>
      <c r="F59" s="330">
        <v>0</v>
      </c>
      <c r="G59" s="212"/>
      <c r="H59" s="172"/>
      <c r="I59" s="202"/>
      <c r="J59" s="324">
        <v>1</v>
      </c>
    </row>
    <row r="60" spans="1:12" s="164" customFormat="1">
      <c r="A60" s="171" t="s">
        <v>159</v>
      </c>
      <c r="B60" s="170"/>
      <c r="C60" s="206"/>
      <c r="D60" s="172"/>
      <c r="E60" s="202"/>
      <c r="F60" s="329">
        <v>4</v>
      </c>
      <c r="G60" s="212"/>
      <c r="H60" s="172"/>
      <c r="I60" s="202"/>
      <c r="J60" s="324">
        <v>3</v>
      </c>
    </row>
    <row r="61" spans="1:12" s="164" customFormat="1">
      <c r="A61" s="174" t="s">
        <v>41</v>
      </c>
      <c r="B61" s="186"/>
      <c r="C61" s="208">
        <f>SUM(C56:C58)</f>
        <v>17390000</v>
      </c>
      <c r="D61" s="175">
        <f>SUM(D56:D58)</f>
        <v>1</v>
      </c>
      <c r="E61" s="203">
        <f t="shared" si="0"/>
        <v>17042200</v>
      </c>
      <c r="F61" s="209"/>
      <c r="G61" s="208">
        <f>SUM(G56:G58)</f>
        <v>13863200</v>
      </c>
      <c r="H61" s="175">
        <f>G61/G$61</f>
        <v>1</v>
      </c>
      <c r="I61" s="203">
        <f t="shared" si="1"/>
        <v>13585936</v>
      </c>
      <c r="J61" s="214"/>
    </row>
    <row r="64" spans="1:12" s="164" customFormat="1">
      <c r="A64" s="167" t="s">
        <v>157</v>
      </c>
      <c r="H64" s="167" t="s">
        <v>183</v>
      </c>
      <c r="I64" s="167"/>
      <c r="J64" s="167"/>
      <c r="K64" s="167"/>
      <c r="L64" s="167"/>
    </row>
    <row r="65" spans="1:12" s="164" customFormat="1">
      <c r="A65" s="167"/>
      <c r="C65" s="338" t="s">
        <v>2</v>
      </c>
      <c r="D65" s="340"/>
      <c r="E65" s="340"/>
      <c r="F65" s="339"/>
      <c r="H65" s="167" t="s">
        <v>184</v>
      </c>
      <c r="I65" s="167"/>
      <c r="J65" s="167"/>
      <c r="K65" s="167"/>
      <c r="L65" s="167"/>
    </row>
    <row r="66" spans="1:12" s="164" customFormat="1">
      <c r="A66" s="180"/>
      <c r="B66" s="169"/>
      <c r="C66" s="169"/>
      <c r="D66" s="169" t="s">
        <v>156</v>
      </c>
      <c r="E66" s="169" t="s">
        <v>203</v>
      </c>
      <c r="F66" s="177" t="s">
        <v>166</v>
      </c>
      <c r="H66" s="167" t="s">
        <v>185</v>
      </c>
      <c r="I66" s="167"/>
      <c r="J66" s="167"/>
      <c r="K66" s="167"/>
      <c r="L66" s="167"/>
    </row>
    <row r="67" spans="1:12" s="164" customFormat="1">
      <c r="A67" s="351" t="s">
        <v>43</v>
      </c>
      <c r="B67" s="352"/>
      <c r="C67" s="352"/>
      <c r="D67" s="182">
        <f>SUM(-(K68)*5/100)</f>
        <v>-2.8422069988389972E-2</v>
      </c>
      <c r="E67" s="182">
        <f>SUM(D56+D67)</f>
        <v>0.50933526181149502</v>
      </c>
      <c r="F67" s="195">
        <f>SUM('FY20 Final'!E67)</f>
        <v>0.53504885352558651</v>
      </c>
      <c r="J67" s="286" t="s">
        <v>186</v>
      </c>
      <c r="K67" s="344" t="s">
        <v>187</v>
      </c>
      <c r="L67" s="345"/>
    </row>
    <row r="68" spans="1:12" s="164" customFormat="1">
      <c r="A68" s="190" t="s">
        <v>132</v>
      </c>
      <c r="B68" s="191"/>
      <c r="C68" s="170"/>
      <c r="D68" s="182">
        <f>SUM(-(K69)*5/100)</f>
        <v>-2.1577930011610028E-2</v>
      </c>
      <c r="E68" s="182">
        <f>SUM(D57+D68)</f>
        <v>0.38668543974112146</v>
      </c>
      <c r="F68" s="195">
        <f>SUM('FY20 Final'!E68)</f>
        <v>0.35364932670018234</v>
      </c>
      <c r="H68" s="168" t="s">
        <v>43</v>
      </c>
      <c r="I68" s="169"/>
      <c r="J68" s="284">
        <f>SUM(C56)</f>
        <v>9351600</v>
      </c>
      <c r="K68" s="185">
        <f>SUM(J68/J70)</f>
        <v>0.5684413997677995</v>
      </c>
      <c r="L68" s="177"/>
    </row>
    <row r="69" spans="1:12" s="164" customFormat="1">
      <c r="A69" s="171" t="s">
        <v>207</v>
      </c>
      <c r="B69" s="170"/>
      <c r="C69" s="170"/>
      <c r="D69" s="182">
        <v>0.05</v>
      </c>
      <c r="E69" s="182">
        <f>SUM(D58+D69)</f>
        <v>0.10397929844738356</v>
      </c>
      <c r="F69" s="195">
        <f>SUM('FY20 Final'!E69)</f>
        <v>0.11130181977423123</v>
      </c>
      <c r="H69" s="241" t="s">
        <v>132</v>
      </c>
      <c r="I69" s="170"/>
      <c r="J69" s="202">
        <f>SUM(C57)</f>
        <v>7099700</v>
      </c>
      <c r="K69" s="182">
        <f>SUM(J69/J70)</f>
        <v>0.4315586002322005</v>
      </c>
      <c r="L69" s="181"/>
    </row>
    <row r="70" spans="1:12" s="164" customFormat="1">
      <c r="A70" s="174" t="s">
        <v>142</v>
      </c>
      <c r="B70" s="186"/>
      <c r="C70" s="186"/>
      <c r="D70" s="186"/>
      <c r="E70" s="196">
        <f>SUM(E67:E69)</f>
        <v>1</v>
      </c>
      <c r="F70" s="197">
        <f>SUM(F67:F69)</f>
        <v>1</v>
      </c>
      <c r="H70" s="285" t="s">
        <v>142</v>
      </c>
      <c r="I70" s="186"/>
      <c r="J70" s="203">
        <f>SUM(J68:J69)</f>
        <v>16451300</v>
      </c>
      <c r="K70" s="186"/>
      <c r="L70" s="214"/>
    </row>
    <row r="72" spans="1:12" s="164" customFormat="1">
      <c r="A72" s="167" t="s">
        <v>143</v>
      </c>
    </row>
    <row r="73" spans="1:12" s="164" customFormat="1">
      <c r="A73" s="194"/>
      <c r="B73" s="170"/>
      <c r="C73" s="334" t="s">
        <v>200</v>
      </c>
      <c r="D73" s="337"/>
      <c r="E73" s="334" t="s">
        <v>135</v>
      </c>
      <c r="F73" s="337"/>
    </row>
    <row r="74" spans="1:12" s="164" customFormat="1">
      <c r="A74" s="180"/>
      <c r="B74" s="169"/>
      <c r="C74" s="168" t="s">
        <v>2</v>
      </c>
      <c r="D74" s="198" t="s">
        <v>26</v>
      </c>
      <c r="E74" s="168" t="s">
        <v>2</v>
      </c>
      <c r="F74" s="198" t="s">
        <v>26</v>
      </c>
    </row>
    <row r="75" spans="1:12" s="164" customFormat="1">
      <c r="A75" s="346" t="s">
        <v>191</v>
      </c>
      <c r="B75" s="347"/>
      <c r="C75" s="233">
        <f>SUM(E48)</f>
        <v>304550.83999999997</v>
      </c>
      <c r="D75" s="234">
        <f>SUM(K48)</f>
        <v>404299.45</v>
      </c>
      <c r="E75" s="309">
        <f>SUM(G48)</f>
        <v>302698.2</v>
      </c>
      <c r="F75" s="200">
        <f>SUM(M48)</f>
        <v>402026.93</v>
      </c>
    </row>
    <row r="76" spans="1:12" s="164" customFormat="1">
      <c r="A76" s="346"/>
      <c r="B76" s="347"/>
      <c r="C76" s="233"/>
      <c r="D76" s="234"/>
      <c r="E76" s="217"/>
      <c r="F76" s="200"/>
    </row>
    <row r="77" spans="1:12" s="164" customFormat="1">
      <c r="A77" s="171" t="s">
        <v>43</v>
      </c>
      <c r="B77" s="170"/>
      <c r="C77" s="216">
        <f>SUM($C$75)*E67</f>
        <v>155118.48182631072</v>
      </c>
      <c r="D77" s="200">
        <f>SUM($D$75)*H56</f>
        <v>270421.48133692075</v>
      </c>
      <c r="E77" s="218">
        <f>SUM('FY20 Final'!C77)</f>
        <v>161958.32487425869</v>
      </c>
      <c r="F77" s="200">
        <f>SUM('FY20 Final'!D77)</f>
        <v>268598.50324420264</v>
      </c>
    </row>
    <row r="78" spans="1:12" s="164" customFormat="1">
      <c r="A78" s="171" t="s">
        <v>132</v>
      </c>
      <c r="B78" s="170"/>
      <c r="C78" s="216">
        <f>SUM($C$75)*E68</f>
        <v>117765.37548892791</v>
      </c>
      <c r="D78" s="200">
        <f>SUM($D$75)*H57</f>
        <v>106502.19007552369</v>
      </c>
      <c r="E78" s="218">
        <f>SUM('FY20 Final'!C78)</f>
        <v>107049.01462335714</v>
      </c>
      <c r="F78" s="200">
        <f>SUM('FY20 Final'!D78)</f>
        <v>104073.76512543738</v>
      </c>
    </row>
    <row r="79" spans="1:12" s="164" customFormat="1">
      <c r="A79" s="174" t="s">
        <v>133</v>
      </c>
      <c r="B79" s="186"/>
      <c r="C79" s="296">
        <f>SUM($C$75)*E69</f>
        <v>31666.982684761355</v>
      </c>
      <c r="D79" s="201">
        <f>SUM($D$75)*H58</f>
        <v>27375.778587555542</v>
      </c>
      <c r="E79" s="297">
        <f>SUM('FY20 Final'!C79)</f>
        <v>33690.860502384203</v>
      </c>
      <c r="F79" s="201">
        <f>SUM('FY20 Final'!D79)</f>
        <v>29354.661630359977</v>
      </c>
    </row>
    <row r="81" spans="1:23" ht="23.25">
      <c r="A81" s="295" t="s">
        <v>144</v>
      </c>
    </row>
    <row r="82" spans="1:23" ht="23.25">
      <c r="A82" s="295"/>
    </row>
    <row r="83" spans="1:23">
      <c r="A83" s="167"/>
      <c r="C83" s="180"/>
      <c r="D83" s="348" t="s">
        <v>2</v>
      </c>
      <c r="E83" s="344"/>
      <c r="F83" s="344"/>
      <c r="G83" s="344"/>
      <c r="H83" s="344"/>
      <c r="I83" s="344"/>
      <c r="J83" s="349" t="s">
        <v>26</v>
      </c>
      <c r="K83" s="344"/>
      <c r="L83" s="344"/>
      <c r="M83" s="344"/>
      <c r="N83" s="344"/>
      <c r="O83" s="345"/>
      <c r="P83" s="164"/>
    </row>
    <row r="84" spans="1:23">
      <c r="C84" s="171"/>
      <c r="D84" s="338" t="s">
        <v>200</v>
      </c>
      <c r="E84" s="339"/>
      <c r="F84" s="338" t="s">
        <v>135</v>
      </c>
      <c r="G84" s="339"/>
      <c r="H84" s="338" t="s">
        <v>205</v>
      </c>
      <c r="I84" s="340"/>
      <c r="J84" s="341" t="s">
        <v>200</v>
      </c>
      <c r="K84" s="339"/>
      <c r="L84" s="338" t="s">
        <v>135</v>
      </c>
      <c r="M84" s="339"/>
      <c r="N84" s="342" t="s">
        <v>205</v>
      </c>
      <c r="O84" s="343"/>
      <c r="P84" s="164"/>
    </row>
    <row r="85" spans="1:23" ht="51.75" customHeight="1">
      <c r="C85" s="171" t="s">
        <v>146</v>
      </c>
      <c r="D85" s="235" t="s">
        <v>150</v>
      </c>
      <c r="E85" s="181" t="s">
        <v>151</v>
      </c>
      <c r="F85" s="235" t="s">
        <v>150</v>
      </c>
      <c r="G85" s="181" t="s">
        <v>149</v>
      </c>
      <c r="H85" s="235" t="s">
        <v>154</v>
      </c>
      <c r="I85" s="221" t="s">
        <v>155</v>
      </c>
      <c r="J85" s="249" t="s">
        <v>150</v>
      </c>
      <c r="K85" s="181" t="s">
        <v>151</v>
      </c>
      <c r="L85" s="235" t="s">
        <v>150</v>
      </c>
      <c r="M85" s="181" t="s">
        <v>149</v>
      </c>
      <c r="N85" s="221" t="s">
        <v>154</v>
      </c>
      <c r="O85" s="222" t="s">
        <v>155</v>
      </c>
      <c r="P85" s="164"/>
    </row>
    <row r="86" spans="1:23">
      <c r="A86" s="168" t="s">
        <v>43</v>
      </c>
      <c r="B86" s="169"/>
      <c r="C86" s="180"/>
      <c r="D86" s="236"/>
      <c r="E86" s="177"/>
      <c r="F86" s="236"/>
      <c r="G86" s="177"/>
      <c r="H86" s="236"/>
      <c r="I86" s="225"/>
      <c r="J86" s="250"/>
      <c r="K86" s="177"/>
      <c r="L86" s="236"/>
      <c r="M86" s="177"/>
      <c r="N86" s="225"/>
      <c r="O86" s="226"/>
      <c r="P86" s="164"/>
    </row>
    <row r="87" spans="1:23">
      <c r="A87" s="171"/>
      <c r="B87" s="170" t="s">
        <v>145</v>
      </c>
      <c r="C87" s="223">
        <v>0.3</v>
      </c>
      <c r="D87" s="304">
        <f>SUM(C77*C87)/F56</f>
        <v>111.32905394232827</v>
      </c>
      <c r="E87" s="234">
        <f>SUM(D87*F56)</f>
        <v>46535.544547893216</v>
      </c>
      <c r="F87" s="237">
        <f>SUM('FY20 Final'!D87)</f>
        <v>116.51678048507819</v>
      </c>
      <c r="G87" s="234">
        <f>SUM('FY20 Final'!E87)</f>
        <v>48587.497462277606</v>
      </c>
      <c r="H87" s="216">
        <f>SUM(D87-F87)</f>
        <v>-5.187726542749914</v>
      </c>
      <c r="I87" s="183">
        <f>SUM(H87/F87)</f>
        <v>-4.4523428480881207E-2</v>
      </c>
      <c r="J87" s="305">
        <f>SUM(D77*C87)/J56</f>
        <v>195.48540819536439</v>
      </c>
      <c r="K87" s="234">
        <f>SUM(J87*J56)</f>
        <v>81126.444401076224</v>
      </c>
      <c r="L87" s="237">
        <f>SUM('FY20 Final'!J87)</f>
        <v>194.63659655377003</v>
      </c>
      <c r="M87" s="234">
        <f>SUM('FY20 Final'!K87)</f>
        <v>80579.55097326079</v>
      </c>
      <c r="N87" s="199">
        <f>SUM(J87-L87)</f>
        <v>0.8488116415943523</v>
      </c>
      <c r="O87" s="224">
        <f>SUM(N87/L87)</f>
        <v>4.3610074190742476E-3</v>
      </c>
      <c r="P87" s="164"/>
    </row>
    <row r="88" spans="1:23">
      <c r="A88" s="171"/>
      <c r="B88" s="170" t="s">
        <v>147</v>
      </c>
      <c r="C88" s="223">
        <v>0.7</v>
      </c>
      <c r="D88" s="304">
        <f>SUM(C77*C88)/(E56*0.001)</f>
        <v>11.848123913578632</v>
      </c>
      <c r="E88" s="234">
        <f>SUM(D88)*(E56*0.001)</f>
        <v>108582.93727841749</v>
      </c>
      <c r="F88" s="237">
        <f>SUM('FY20 Final'!D88)</f>
        <v>12.449905054598325</v>
      </c>
      <c r="G88" s="234">
        <f>SUM('FY20 Final'!E88)</f>
        <v>113370.82741198108</v>
      </c>
      <c r="H88" s="216">
        <f>SUM(D88-F88)</f>
        <v>-0.60178114101969271</v>
      </c>
      <c r="I88" s="183">
        <f>SUM(H88/F88)</f>
        <v>-4.8336203238548162E-2</v>
      </c>
      <c r="J88" s="305">
        <f>SUM(D77*C88)/(I56*0.001)</f>
        <v>20.83107229417244</v>
      </c>
      <c r="K88" s="234">
        <f>SUM(J88)*(I56*0.001)</f>
        <v>189295.03693584452</v>
      </c>
      <c r="L88" s="216">
        <f>SUM('FY20 Final'!J88)</f>
        <v>20.803269620257094</v>
      </c>
      <c r="M88" s="234">
        <f>SUM('FY20 Final'!K88)</f>
        <v>188018.95227094184</v>
      </c>
      <c r="N88" s="199">
        <f>SUM(J88-L88)</f>
        <v>2.7802673915346077E-2</v>
      </c>
      <c r="O88" s="224">
        <f t="shared" ref="O88:O96" si="2">SUM(N88/L88)</f>
        <v>1.3364569331098485E-3</v>
      </c>
      <c r="P88" s="164"/>
    </row>
    <row r="89" spans="1:23" s="166" customFormat="1">
      <c r="A89" s="298"/>
      <c r="B89" s="299" t="s">
        <v>160</v>
      </c>
      <c r="C89" s="298"/>
      <c r="D89" s="298"/>
      <c r="E89" s="300">
        <f>SUM(E87:E88)</f>
        <v>155118.48182631072</v>
      </c>
      <c r="F89" s="298"/>
      <c r="G89" s="300">
        <f>SUM(G87:G88)</f>
        <v>161958.32487425869</v>
      </c>
      <c r="H89" s="298"/>
      <c r="I89" s="299"/>
      <c r="J89" s="301"/>
      <c r="K89" s="300">
        <f>SUM(K87:K88)</f>
        <v>270421.48133692075</v>
      </c>
      <c r="L89" s="298"/>
      <c r="M89" s="300">
        <f>SUM(M87:M88)</f>
        <v>268598.50324420264</v>
      </c>
      <c r="N89" s="299"/>
      <c r="O89" s="302"/>
      <c r="Q89" s="303"/>
      <c r="R89" s="303"/>
      <c r="S89" s="303"/>
      <c r="T89" s="303"/>
      <c r="U89" s="303"/>
      <c r="V89" s="303"/>
      <c r="W89" s="303"/>
    </row>
    <row r="90" spans="1:23">
      <c r="A90" s="168" t="s">
        <v>132</v>
      </c>
      <c r="B90" s="169"/>
      <c r="C90" s="180"/>
      <c r="D90" s="180"/>
      <c r="E90" s="177"/>
      <c r="F90" s="180"/>
      <c r="G90" s="177"/>
      <c r="H90" s="180"/>
      <c r="I90" s="169"/>
      <c r="J90" s="253"/>
      <c r="K90" s="177"/>
      <c r="L90" s="180"/>
      <c r="M90" s="177"/>
      <c r="N90" s="317"/>
      <c r="O90" s="224"/>
      <c r="P90" s="164"/>
    </row>
    <row r="91" spans="1:23">
      <c r="A91" s="171"/>
      <c r="B91" s="170" t="s">
        <v>145</v>
      </c>
      <c r="C91" s="223">
        <v>0.4</v>
      </c>
      <c r="D91" s="304">
        <f>SUM(C78*C91)/F57</f>
        <v>636.56959723744819</v>
      </c>
      <c r="E91" s="234">
        <f>SUM(D91*F57)</f>
        <v>47106.150195571165</v>
      </c>
      <c r="F91" s="237">
        <f>SUM('FY20 Final'!D91)</f>
        <v>594.71674790753968</v>
      </c>
      <c r="G91" s="234">
        <f>SUM('FY20 Final'!E91)</f>
        <v>42819.605849342857</v>
      </c>
      <c r="H91" s="216">
        <f>SUM(D91-F91)</f>
        <v>41.852849329908508</v>
      </c>
      <c r="I91" s="183">
        <f>SUM(H91/F91)</f>
        <v>7.0374425265749121E-2</v>
      </c>
      <c r="J91" s="305">
        <f>SUM(D78*C91)/J57</f>
        <v>591.67883375290933</v>
      </c>
      <c r="K91" s="234">
        <f>SUM(J91*J57)</f>
        <v>42600.876030209474</v>
      </c>
      <c r="L91" s="237">
        <f>SUM('FY20 Final'!J91)</f>
        <v>562.56089256993187</v>
      </c>
      <c r="M91" s="234">
        <f>SUM('FY20 Final'!K91)</f>
        <v>41629.506050174961</v>
      </c>
      <c r="N91" s="199">
        <f>SUM(J91-L91)</f>
        <v>29.117941182977461</v>
      </c>
      <c r="O91" s="224">
        <f t="shared" si="2"/>
        <v>5.1759625611298272E-2</v>
      </c>
      <c r="P91" s="164"/>
    </row>
    <row r="92" spans="1:23">
      <c r="A92" s="171"/>
      <c r="B92" s="170" t="s">
        <v>147</v>
      </c>
      <c r="C92" s="223">
        <v>0.6</v>
      </c>
      <c r="D92" s="304">
        <f>SUM(C78*C92)/(E57*0.001)</f>
        <v>10.155534783067399</v>
      </c>
      <c r="E92" s="234">
        <f>SUM(D92)*(E57*0.001)</f>
        <v>70659.225293356736</v>
      </c>
      <c r="F92" s="216">
        <f>SUM('FY20 Final'!D92)</f>
        <v>10.671347189655707</v>
      </c>
      <c r="G92" s="234">
        <f>SUM('FY20 Final'!E92)</f>
        <v>64229.408774014286</v>
      </c>
      <c r="H92" s="216">
        <f>SUM(D92-F92)</f>
        <v>-0.51581240658830829</v>
      </c>
      <c r="I92" s="183">
        <f>SUM(H92/F92)</f>
        <v>-4.8336203238548189E-2</v>
      </c>
      <c r="J92" s="305">
        <f>SUM(D78*C92)/(I57*0.001)</f>
        <v>17.855204823576379</v>
      </c>
      <c r="K92" s="234">
        <f>SUM(J92)*(I57*0.001)</f>
        <v>63901.314045314211</v>
      </c>
      <c r="L92" s="216">
        <f>SUM('FY20 Final'!J92)</f>
        <v>17.831373960220365</v>
      </c>
      <c r="M92" s="234">
        <f>SUM('FY20 Final'!K92)</f>
        <v>62444.259075262424</v>
      </c>
      <c r="N92" s="199">
        <f>SUM(J92-L92)</f>
        <v>2.3830863356014476E-2</v>
      </c>
      <c r="O92" s="224">
        <f t="shared" si="2"/>
        <v>1.3364569331100478E-3</v>
      </c>
      <c r="P92" s="164"/>
    </row>
    <row r="93" spans="1:23" s="166" customFormat="1">
      <c r="A93" s="298"/>
      <c r="B93" s="299" t="s">
        <v>160</v>
      </c>
      <c r="C93" s="298"/>
      <c r="D93" s="298"/>
      <c r="E93" s="300">
        <f>SUM(E91:E92)</f>
        <v>117765.37548892791</v>
      </c>
      <c r="F93" s="298"/>
      <c r="G93" s="300">
        <f>SUM(G91:G92)</f>
        <v>107049.01462335714</v>
      </c>
      <c r="H93" s="298"/>
      <c r="I93" s="299"/>
      <c r="J93" s="301"/>
      <c r="K93" s="300">
        <f>SUM(K91:K92)</f>
        <v>106502.19007552369</v>
      </c>
      <c r="L93" s="298"/>
      <c r="M93" s="300">
        <f>SUM(M91:M92)</f>
        <v>104073.76512543738</v>
      </c>
      <c r="N93" s="299"/>
      <c r="O93" s="302"/>
      <c r="Q93" s="303"/>
      <c r="R93" s="303"/>
      <c r="S93" s="303"/>
      <c r="T93" s="303"/>
      <c r="U93" s="303"/>
      <c r="V93" s="303"/>
      <c r="W93" s="303"/>
    </row>
    <row r="94" spans="1:23">
      <c r="A94" s="168" t="s">
        <v>133</v>
      </c>
      <c r="B94" s="169"/>
      <c r="C94" s="180"/>
      <c r="D94" s="180"/>
      <c r="E94" s="177"/>
      <c r="F94" s="180"/>
      <c r="G94" s="177"/>
      <c r="H94" s="180"/>
      <c r="I94" s="169"/>
      <c r="J94" s="253"/>
      <c r="K94" s="177"/>
      <c r="L94" s="180"/>
      <c r="M94" s="177"/>
      <c r="N94" s="317"/>
      <c r="O94" s="224"/>
      <c r="P94" s="164"/>
    </row>
    <row r="95" spans="1:23">
      <c r="A95" s="171"/>
      <c r="B95" s="170" t="s">
        <v>145</v>
      </c>
      <c r="C95" s="223">
        <v>0.5</v>
      </c>
      <c r="D95" s="304">
        <f>SUM(C79*C95)/F58</f>
        <v>5277.8304474602255</v>
      </c>
      <c r="E95" s="234">
        <f>SUM(D95*F58)</f>
        <v>15833.491342380676</v>
      </c>
      <c r="F95" s="237">
        <f>SUM('FY20 Final'!D95)</f>
        <v>5615.1434170640341</v>
      </c>
      <c r="G95" s="234">
        <f>SUM('FY20 Final'!E95)</f>
        <v>16845.430251192101</v>
      </c>
      <c r="H95" s="216">
        <f>SUM(D95-F95)</f>
        <v>-337.3129696038086</v>
      </c>
      <c r="I95" s="183">
        <f>SUM(H95/F95)</f>
        <v>-6.0072013223872026E-2</v>
      </c>
      <c r="J95" s="305">
        <f>SUM(D79*C95)/J58</f>
        <v>4562.6297645925906</v>
      </c>
      <c r="K95" s="234">
        <f>SUM(J95*J58)</f>
        <v>13687.889293777771</v>
      </c>
      <c r="L95" s="237">
        <f>SUM('FY20 Final'!J95)</f>
        <v>4892.4436050599961</v>
      </c>
      <c r="M95" s="234">
        <f>SUM('FY20 Final'!K95)</f>
        <v>14677.330815179988</v>
      </c>
      <c r="N95" s="199">
        <f>SUM(J95-L95)</f>
        <v>-329.8138404674055</v>
      </c>
      <c r="O95" s="224">
        <f t="shared" si="2"/>
        <v>-6.7412905920120669E-2</v>
      </c>
      <c r="P95" s="164"/>
    </row>
    <row r="96" spans="1:23">
      <c r="A96" s="171"/>
      <c r="B96" s="170" t="s">
        <v>147</v>
      </c>
      <c r="C96" s="223">
        <v>0.5</v>
      </c>
      <c r="D96" s="304">
        <f>SUM(C79*C96)/(E58*0.001)</f>
        <v>17.211701095936714</v>
      </c>
      <c r="E96" s="234">
        <f>SUM(D96)*(E58*0.001)</f>
        <v>15833.491342380679</v>
      </c>
      <c r="F96" s="216">
        <f>SUM('FY20 Final'!D96)</f>
        <v>17.054484117504469</v>
      </c>
      <c r="G96" s="234">
        <f>SUM('FY20 Final'!E96)</f>
        <v>16845.430251192101</v>
      </c>
      <c r="H96" s="216">
        <f>SUM(D96-F96)</f>
        <v>0.15721697843224547</v>
      </c>
      <c r="I96" s="183">
        <f>SUM(H96/F96)</f>
        <v>9.2185127001807293E-3</v>
      </c>
      <c r="J96" s="305">
        <f>SUM(D79*C96)/(I58*0.001)</f>
        <v>14.879337352980317</v>
      </c>
      <c r="K96" s="234">
        <f>SUM(J96)*(I58*0.001)</f>
        <v>13687.889293777771</v>
      </c>
      <c r="L96" s="216">
        <f>SUM('FY20 Final'!J96)</f>
        <v>14.859478300183639</v>
      </c>
      <c r="M96" s="234">
        <f>SUM('FY20 Final'!K96)</f>
        <v>14677.330815179988</v>
      </c>
      <c r="N96" s="199">
        <f>SUM(J96-L96)</f>
        <v>1.9859052796677545E-2</v>
      </c>
      <c r="O96" s="224">
        <f t="shared" si="2"/>
        <v>1.336456933109968E-3</v>
      </c>
      <c r="P96" s="164"/>
    </row>
    <row r="97" spans="1:23" s="166" customFormat="1">
      <c r="A97" s="298"/>
      <c r="B97" s="299" t="s">
        <v>160</v>
      </c>
      <c r="C97" s="298"/>
      <c r="D97" s="298"/>
      <c r="E97" s="300">
        <f>SUM(E95:E96)</f>
        <v>31666.982684761355</v>
      </c>
      <c r="F97" s="298"/>
      <c r="G97" s="300">
        <f>SUM(G95:G96)</f>
        <v>33690.860502384203</v>
      </c>
      <c r="H97" s="298"/>
      <c r="I97" s="299"/>
      <c r="J97" s="301"/>
      <c r="K97" s="300">
        <f>SUM(K95:K96)</f>
        <v>27375.778587555542</v>
      </c>
      <c r="L97" s="298"/>
      <c r="M97" s="300">
        <f>SUM(M95:M96)</f>
        <v>29354.661630359977</v>
      </c>
      <c r="N97" s="299"/>
      <c r="O97" s="302"/>
      <c r="Q97" s="303"/>
      <c r="R97" s="303"/>
      <c r="S97" s="303"/>
      <c r="T97" s="303"/>
      <c r="U97" s="303"/>
      <c r="V97" s="303"/>
      <c r="W97" s="303"/>
    </row>
    <row r="98" spans="1:23">
      <c r="N98" s="165"/>
    </row>
    <row r="99" spans="1:23">
      <c r="E99" s="188"/>
    </row>
    <row r="100" spans="1:23" ht="23.25">
      <c r="A100" s="295" t="s">
        <v>168</v>
      </c>
    </row>
    <row r="101" spans="1:23" ht="23.25">
      <c r="A101" s="272"/>
    </row>
    <row r="102" spans="1:23">
      <c r="A102" s="180"/>
      <c r="B102" s="169"/>
      <c r="C102" s="169"/>
      <c r="D102" s="169"/>
      <c r="E102" s="169"/>
      <c r="F102" s="169"/>
      <c r="G102" s="168" t="s">
        <v>2</v>
      </c>
      <c r="H102" s="198" t="s">
        <v>26</v>
      </c>
    </row>
    <row r="103" spans="1:23">
      <c r="A103" s="171" t="s">
        <v>173</v>
      </c>
      <c r="B103" s="170"/>
      <c r="C103" s="170"/>
      <c r="D103" s="170"/>
      <c r="E103" s="170"/>
      <c r="F103" s="170"/>
      <c r="G103" s="233">
        <f>SUM(E87+E91+E95+E32+E38+E41+E43)</f>
        <v>162389.34608584506</v>
      </c>
      <c r="H103" s="234">
        <f>SUM(K87+K91+K95+K27+K32+(0.5*K39)+K41+K43)</f>
        <v>238483.20972506347</v>
      </c>
    </row>
    <row r="104" spans="1:23">
      <c r="A104" s="171" t="s">
        <v>171</v>
      </c>
      <c r="B104" s="170"/>
      <c r="C104" s="170"/>
      <c r="D104" s="170"/>
      <c r="E104" s="170"/>
      <c r="F104" s="170"/>
      <c r="G104" s="233">
        <f>SUM(E88+E92+E96+E37)</f>
        <v>196575.65391415489</v>
      </c>
      <c r="H104" s="234">
        <f>SUM(K88+K92+K96+K28+(0.5*K39))</f>
        <v>367903.79027493647</v>
      </c>
    </row>
    <row r="105" spans="1:23">
      <c r="A105" s="260" t="s">
        <v>142</v>
      </c>
      <c r="B105" s="232"/>
      <c r="C105" s="232"/>
      <c r="D105" s="232"/>
      <c r="E105" s="232"/>
      <c r="F105" s="232"/>
      <c r="G105" s="261">
        <f>SUM(G103:G104)</f>
        <v>358964.99999999994</v>
      </c>
      <c r="H105" s="262">
        <f>SUM(H103:H104)</f>
        <v>606387</v>
      </c>
    </row>
    <row r="106" spans="1:23">
      <c r="A106" s="171" t="s">
        <v>208</v>
      </c>
      <c r="B106" s="170"/>
      <c r="C106" s="170"/>
      <c r="D106" s="170"/>
      <c r="E106" s="170"/>
      <c r="F106" s="170"/>
      <c r="G106" s="233">
        <f>SUM(D10-G105)</f>
        <v>5.8207660913467407E-11</v>
      </c>
      <c r="H106" s="234">
        <f>SUM(E10-H105)</f>
        <v>0</v>
      </c>
    </row>
    <row r="107" spans="1:23" ht="17.25" customHeight="1">
      <c r="A107" s="171" t="s">
        <v>169</v>
      </c>
      <c r="B107" s="170"/>
      <c r="C107" s="170"/>
      <c r="D107" s="170"/>
      <c r="E107" s="170"/>
      <c r="F107" s="170"/>
      <c r="G107" s="331">
        <v>200802</v>
      </c>
      <c r="H107" s="323">
        <v>163302</v>
      </c>
    </row>
    <row r="108" spans="1:23" ht="17.25" customHeight="1">
      <c r="A108" s="174" t="s">
        <v>209</v>
      </c>
      <c r="B108" s="186"/>
      <c r="C108" s="186"/>
      <c r="D108" s="186"/>
      <c r="E108" s="186"/>
      <c r="F108" s="186"/>
      <c r="G108" s="259">
        <f>SUM(1-(G107-G103)/G107)</f>
        <v>0.80870382807862995</v>
      </c>
      <c r="H108" s="197">
        <f>SUM(1-(H107-H103)/H107)</f>
        <v>1.460381438837635</v>
      </c>
    </row>
    <row r="111" spans="1:23" ht="23.25">
      <c r="A111" s="295" t="s">
        <v>174</v>
      </c>
    </row>
    <row r="112" spans="1:23">
      <c r="D112" s="334" t="s">
        <v>200</v>
      </c>
      <c r="E112" s="335"/>
      <c r="F112" s="336" t="s">
        <v>135</v>
      </c>
      <c r="G112" s="337"/>
    </row>
    <row r="113" spans="1:7" s="164" customFormat="1">
      <c r="D113" s="312" t="s">
        <v>2</v>
      </c>
      <c r="E113" s="313" t="s">
        <v>26</v>
      </c>
      <c r="F113" s="263" t="s">
        <v>2</v>
      </c>
      <c r="G113" s="184" t="s">
        <v>26</v>
      </c>
    </row>
    <row r="114" spans="1:7" s="164" customFormat="1">
      <c r="A114" s="168" t="s">
        <v>43</v>
      </c>
      <c r="B114" s="169"/>
      <c r="C114" s="169"/>
      <c r="D114" s="180"/>
      <c r="E114" s="266"/>
      <c r="F114" s="253"/>
      <c r="G114" s="177"/>
    </row>
    <row r="115" spans="1:7" s="164" customFormat="1">
      <c r="A115" s="171" t="s">
        <v>147</v>
      </c>
      <c r="B115" s="170"/>
      <c r="C115" s="170"/>
      <c r="D115" s="216">
        <f>SUM((E56/F56)/1000)*D88</f>
        <v>259.76779253209929</v>
      </c>
      <c r="E115" s="267">
        <f>SUM((I56/J56)/1000)*J88</f>
        <v>456.13261912251687</v>
      </c>
      <c r="F115" s="264">
        <f>SUM('FY20 Final'!D115)</f>
        <v>271.87248779851581</v>
      </c>
      <c r="G115" s="200">
        <f>SUM('FY20 Final'!E115)</f>
        <v>454.15205862546344</v>
      </c>
    </row>
    <row r="116" spans="1:7" s="164" customFormat="1">
      <c r="A116" s="171" t="s">
        <v>175</v>
      </c>
      <c r="B116" s="170"/>
      <c r="C116" s="170"/>
      <c r="D116" s="216">
        <f>SUM(D87)</f>
        <v>111.32905394232827</v>
      </c>
      <c r="E116" s="267">
        <f>SUM(J87)</f>
        <v>195.48540819536439</v>
      </c>
      <c r="F116" s="264">
        <f>SUM('FY20 Final'!D116)</f>
        <v>116.51678048507819</v>
      </c>
      <c r="G116" s="200">
        <f>SUM('FY20 Final'!E116)</f>
        <v>194.63659655377003</v>
      </c>
    </row>
    <row r="117" spans="1:7" s="164" customFormat="1">
      <c r="A117" s="171" t="s">
        <v>142</v>
      </c>
      <c r="B117" s="170"/>
      <c r="C117" s="170"/>
      <c r="D117" s="216">
        <f>SUM(D115:D116)</f>
        <v>371.09684647442759</v>
      </c>
      <c r="E117" s="267">
        <f>SUM(E115:E116)</f>
        <v>651.61802731788123</v>
      </c>
      <c r="F117" s="264">
        <f>SUM('FY20 Final'!D117)</f>
        <v>388.38926828359399</v>
      </c>
      <c r="G117" s="200">
        <f>SUM('FY20 Final'!E117)</f>
        <v>648.7886551792335</v>
      </c>
    </row>
    <row r="118" spans="1:7" s="164" customFormat="1">
      <c r="A118" s="260" t="s">
        <v>176</v>
      </c>
      <c r="B118" s="232"/>
      <c r="C118" s="232"/>
      <c r="D118" s="270">
        <f>SUM(D117:E117)</f>
        <v>1022.7148737923088</v>
      </c>
      <c r="E118" s="268"/>
      <c r="F118" s="264">
        <f>SUM('FY20 Final'!D118)</f>
        <v>1037.1779234628275</v>
      </c>
      <c r="G118" s="200"/>
    </row>
    <row r="119" spans="1:7" s="164" customFormat="1">
      <c r="A119" s="260" t="s">
        <v>177</v>
      </c>
      <c r="B119" s="232"/>
      <c r="C119" s="232"/>
      <c r="D119" s="270">
        <f>SUM(D118-F118)</f>
        <v>-14.463049670518672</v>
      </c>
      <c r="E119" s="268"/>
      <c r="F119" s="254"/>
      <c r="G119" s="181"/>
    </row>
    <row r="120" spans="1:7" s="164" customFormat="1">
      <c r="A120" s="229" t="s">
        <v>178</v>
      </c>
      <c r="B120" s="228"/>
      <c r="C120" s="228"/>
      <c r="D120" s="271">
        <f>SUM(D119/F118)</f>
        <v>-1.3944617739481829E-2</v>
      </c>
      <c r="E120" s="269"/>
      <c r="F120" s="265"/>
      <c r="G120" s="214"/>
    </row>
    <row r="121" spans="1:7" s="164" customFormat="1">
      <c r="D121" s="171"/>
      <c r="E121" s="268"/>
      <c r="F121" s="254"/>
      <c r="G121" s="170"/>
    </row>
    <row r="122" spans="1:7" s="164" customFormat="1">
      <c r="A122" s="168" t="s">
        <v>132</v>
      </c>
      <c r="B122" s="169"/>
      <c r="C122" s="169"/>
      <c r="D122" s="180"/>
      <c r="E122" s="266"/>
      <c r="F122" s="253"/>
      <c r="G122" s="177"/>
    </row>
    <row r="123" spans="1:7" s="164" customFormat="1">
      <c r="A123" s="171" t="s">
        <v>147</v>
      </c>
      <c r="B123" s="170"/>
      <c r="C123" s="170"/>
      <c r="D123" s="216">
        <f>SUM((E57/F57)/1000)*D92</f>
        <v>954.85439585617223</v>
      </c>
      <c r="E123" s="267">
        <f>SUM((I57/J57)/1000)*J92</f>
        <v>887.51825062936393</v>
      </c>
      <c r="F123" s="264">
        <f>SUM('FY20 Final'!D123)</f>
        <v>892.07512186130941</v>
      </c>
      <c r="G123" s="200">
        <f>SUM('FY20 Final'!E123)</f>
        <v>843.84133885489769</v>
      </c>
    </row>
    <row r="124" spans="1:7" s="164" customFormat="1">
      <c r="A124" s="171" t="s">
        <v>175</v>
      </c>
      <c r="B124" s="170"/>
      <c r="C124" s="170"/>
      <c r="D124" s="216">
        <f>SUM(D91)</f>
        <v>636.56959723744819</v>
      </c>
      <c r="E124" s="267">
        <f>SUM(J91)</f>
        <v>591.67883375290933</v>
      </c>
      <c r="F124" s="264">
        <f>SUM('FY20 Final'!D124)</f>
        <v>594.71674790753968</v>
      </c>
      <c r="G124" s="200">
        <f>SUM('FY20 Final'!E124)</f>
        <v>562.56089256993187</v>
      </c>
    </row>
    <row r="125" spans="1:7" s="164" customFormat="1">
      <c r="A125" s="171" t="s">
        <v>142</v>
      </c>
      <c r="B125" s="170"/>
      <c r="C125" s="170"/>
      <c r="D125" s="216">
        <f>SUM(D123:D124)</f>
        <v>1591.4239930936205</v>
      </c>
      <c r="E125" s="267">
        <f>SUM(E123:E124)</f>
        <v>1479.1970843822733</v>
      </c>
      <c r="F125" s="264">
        <f>SUM('FY20 Final'!D125)</f>
        <v>1486.7918697688492</v>
      </c>
      <c r="G125" s="200">
        <f>SUM('FY20 Final'!E125)</f>
        <v>1406.4022314248296</v>
      </c>
    </row>
    <row r="126" spans="1:7" s="164" customFormat="1">
      <c r="A126" s="260" t="s">
        <v>176</v>
      </c>
      <c r="B126" s="232"/>
      <c r="C126" s="232"/>
      <c r="D126" s="270">
        <f>SUM(D125:E125)</f>
        <v>3070.6210774758938</v>
      </c>
      <c r="E126" s="268"/>
      <c r="F126" s="264">
        <f>SUM('FY20 Final'!D126)</f>
        <v>2893.1941011936788</v>
      </c>
      <c r="G126" s="200"/>
    </row>
    <row r="127" spans="1:7" s="164" customFormat="1">
      <c r="A127" s="260" t="s">
        <v>177</v>
      </c>
      <c r="B127" s="232"/>
      <c r="C127" s="232"/>
      <c r="D127" s="270">
        <f>SUM(D126-F126)</f>
        <v>177.42697628221504</v>
      </c>
      <c r="E127" s="268"/>
      <c r="F127" s="254"/>
      <c r="G127" s="181"/>
    </row>
    <row r="128" spans="1:7" s="164" customFormat="1">
      <c r="A128" s="229" t="s">
        <v>178</v>
      </c>
      <c r="B128" s="228"/>
      <c r="C128" s="228"/>
      <c r="D128" s="271">
        <f>SUM(D127/F126)</f>
        <v>6.1325638749578512E-2</v>
      </c>
      <c r="E128" s="269"/>
      <c r="F128" s="265"/>
      <c r="G128" s="214"/>
    </row>
    <row r="129" spans="1:7" s="164" customFormat="1">
      <c r="D129" s="171"/>
      <c r="E129" s="268"/>
      <c r="F129" s="254"/>
      <c r="G129" s="170"/>
    </row>
    <row r="130" spans="1:7" s="164" customFormat="1">
      <c r="A130" s="168" t="s">
        <v>133</v>
      </c>
      <c r="B130" s="169"/>
      <c r="C130" s="169"/>
      <c r="D130" s="180"/>
      <c r="E130" s="266"/>
      <c r="F130" s="253"/>
      <c r="G130" s="177"/>
    </row>
    <row r="131" spans="1:7" s="164" customFormat="1">
      <c r="A131" s="171" t="s">
        <v>147</v>
      </c>
      <c r="B131" s="170"/>
      <c r="C131" s="170"/>
      <c r="D131" s="216">
        <f>SUM((E58/F58)/1000)*D96</f>
        <v>5277.8304474602255</v>
      </c>
      <c r="E131" s="267">
        <f>SUM((I58/J58)/1000)*J96</f>
        <v>4562.6297645925906</v>
      </c>
      <c r="F131" s="264">
        <f>SUM('FY20 Final'!D131)</f>
        <v>5615.1434170640323</v>
      </c>
      <c r="G131" s="200">
        <f>SUM('FY20 Final'!E131)</f>
        <v>4892.4436050599952</v>
      </c>
    </row>
    <row r="132" spans="1:7" s="164" customFormat="1">
      <c r="A132" s="171" t="s">
        <v>175</v>
      </c>
      <c r="B132" s="170"/>
      <c r="C132" s="170"/>
      <c r="D132" s="216">
        <f>SUM(D95)</f>
        <v>5277.8304474602255</v>
      </c>
      <c r="E132" s="267">
        <f>SUM(J95)</f>
        <v>4562.6297645925906</v>
      </c>
      <c r="F132" s="264">
        <f>SUM('FY20 Final'!D132)</f>
        <v>5615.1434170640341</v>
      </c>
      <c r="G132" s="200">
        <f>SUM('FY20 Final'!E132)</f>
        <v>4892.4436050599961</v>
      </c>
    </row>
    <row r="133" spans="1:7" s="164" customFormat="1">
      <c r="A133" s="171" t="s">
        <v>142</v>
      </c>
      <c r="B133" s="170"/>
      <c r="C133" s="170"/>
      <c r="D133" s="216">
        <f>SUM(D131:D132)</f>
        <v>10555.660894920451</v>
      </c>
      <c r="E133" s="267">
        <f>SUM(E131:E132)</f>
        <v>9125.2595291851812</v>
      </c>
      <c r="F133" s="264">
        <f>SUM('FY20 Final'!D133)</f>
        <v>11230.286834128066</v>
      </c>
      <c r="G133" s="200">
        <f>SUM('FY20 Final'!E133)</f>
        <v>9784.8872101199922</v>
      </c>
    </row>
    <row r="134" spans="1:7" s="164" customFormat="1">
      <c r="A134" s="260" t="s">
        <v>176</v>
      </c>
      <c r="B134" s="232"/>
      <c r="C134" s="232"/>
      <c r="D134" s="270">
        <f>SUM(D133:E133)</f>
        <v>19680.920424105632</v>
      </c>
      <c r="E134" s="268"/>
      <c r="F134" s="264">
        <f>SUM('FY20 Final'!D134)</f>
        <v>21015.174044248059</v>
      </c>
      <c r="G134" s="200"/>
    </row>
    <row r="135" spans="1:7" s="164" customFormat="1">
      <c r="A135" s="260" t="s">
        <v>177</v>
      </c>
      <c r="B135" s="232"/>
      <c r="C135" s="232"/>
      <c r="D135" s="270">
        <f>SUM(D134-F134)</f>
        <v>-1334.2536201424264</v>
      </c>
      <c r="E135" s="268"/>
      <c r="F135" s="254"/>
      <c r="G135" s="181"/>
    </row>
    <row r="136" spans="1:7" s="164" customFormat="1">
      <c r="A136" s="229" t="s">
        <v>178</v>
      </c>
      <c r="B136" s="228"/>
      <c r="C136" s="228"/>
      <c r="D136" s="271">
        <f>SUM(D135/F134)</f>
        <v>-6.3490010472105382E-2</v>
      </c>
      <c r="E136" s="269"/>
      <c r="F136" s="265"/>
      <c r="G136" s="214"/>
    </row>
  </sheetData>
  <mergeCells count="36">
    <mergeCell ref="A9:B9"/>
    <mergeCell ref="A10:B10"/>
    <mergeCell ref="D23:I23"/>
    <mergeCell ref="J23:O23"/>
    <mergeCell ref="D24:E24"/>
    <mergeCell ref="F24:G24"/>
    <mergeCell ref="H24:I24"/>
    <mergeCell ref="J24:K24"/>
    <mergeCell ref="L24:M24"/>
    <mergeCell ref="N24:O24"/>
    <mergeCell ref="D34:I34"/>
    <mergeCell ref="J34:O34"/>
    <mergeCell ref="D35:E35"/>
    <mergeCell ref="F35:G35"/>
    <mergeCell ref="J35:K35"/>
    <mergeCell ref="L35:M35"/>
    <mergeCell ref="A75:B76"/>
    <mergeCell ref="D83:I83"/>
    <mergeCell ref="J83:O83"/>
    <mergeCell ref="C53:F53"/>
    <mergeCell ref="G53:J53"/>
    <mergeCell ref="C54:D54"/>
    <mergeCell ref="A57:B57"/>
    <mergeCell ref="C65:F65"/>
    <mergeCell ref="A67:C67"/>
    <mergeCell ref="J84:K84"/>
    <mergeCell ref="L84:M84"/>
    <mergeCell ref="N84:O84"/>
    <mergeCell ref="K67:L67"/>
    <mergeCell ref="C73:D73"/>
    <mergeCell ref="E73:F73"/>
    <mergeCell ref="D112:E112"/>
    <mergeCell ref="F112:G112"/>
    <mergeCell ref="D84:E84"/>
    <mergeCell ref="F84:G84"/>
    <mergeCell ref="H84:I84"/>
  </mergeCells>
  <pageMargins left="0.7" right="0.7" top="0.75" bottom="0.75" header="0.3" footer="0.3"/>
  <pageSetup scale="59" orientation="landscape" verticalDpi="0" r:id="rId1"/>
  <rowBreaks count="2" manualBreakCount="2">
    <brk id="49" max="16383" man="1"/>
    <brk id="9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6"/>
  <sheetViews>
    <sheetView view="pageBreakPreview" zoomScale="60" zoomScaleNormal="100" workbookViewId="0">
      <selection activeCell="E6" sqref="E6"/>
    </sheetView>
  </sheetViews>
  <sheetFormatPr defaultRowHeight="15"/>
  <cols>
    <col min="1" max="1" width="12.125" style="164" customWidth="1"/>
    <col min="2" max="2" width="11.75" style="164" customWidth="1"/>
    <col min="3" max="3" width="12" style="164" customWidth="1"/>
    <col min="4" max="4" width="12.625" style="164" customWidth="1"/>
    <col min="5" max="5" width="17.75" style="164" bestFit="1" customWidth="1"/>
    <col min="6" max="6" width="17.75" style="164" customWidth="1"/>
    <col min="7" max="7" width="15.875" style="164" bestFit="1" customWidth="1"/>
    <col min="8" max="8" width="11.75" style="164" bestFit="1" customWidth="1"/>
    <col min="9" max="9" width="12.625" style="164" bestFit="1" customWidth="1"/>
    <col min="10" max="10" width="11.375" style="164" customWidth="1"/>
    <col min="11" max="11" width="8.625" style="164" customWidth="1"/>
    <col min="12" max="12" width="12" style="164" bestFit="1" customWidth="1"/>
    <col min="13" max="13" width="12.625" style="164" bestFit="1" customWidth="1"/>
    <col min="14" max="14" width="11.625" style="164" bestFit="1" customWidth="1"/>
    <col min="15" max="15" width="10.625" style="165" customWidth="1"/>
    <col min="16" max="16" width="10.25" style="165" customWidth="1"/>
    <col min="17" max="21" width="8.625" style="165" customWidth="1"/>
    <col min="22" max="22" width="9.375" style="165" customWidth="1"/>
    <col min="23" max="23" width="8.125" style="165" customWidth="1"/>
    <col min="24" max="16384" width="9" style="164"/>
  </cols>
  <sheetData>
    <row r="1" spans="1:16" s="164" customFormat="1" ht="33.75">
      <c r="A1" s="332" t="s">
        <v>198</v>
      </c>
      <c r="B1" s="189"/>
      <c r="C1" s="189"/>
      <c r="D1" s="189"/>
      <c r="O1" s="165"/>
      <c r="P1" s="165"/>
    </row>
    <row r="2" spans="1:16" s="164" customFormat="1">
      <c r="A2" s="166" t="s">
        <v>84</v>
      </c>
      <c r="O2" s="165"/>
      <c r="P2" s="165"/>
    </row>
    <row r="6" spans="1:16" s="164" customFormat="1" ht="23.25">
      <c r="A6" s="294" t="s">
        <v>131</v>
      </c>
      <c r="B6" s="170"/>
      <c r="C6" s="170"/>
      <c r="D6" s="170"/>
      <c r="E6" s="170"/>
      <c r="F6" s="170"/>
      <c r="G6" s="170"/>
      <c r="O6" s="165"/>
      <c r="P6" s="165"/>
    </row>
    <row r="7" spans="1:16" s="164" customFormat="1" ht="23.25">
      <c r="A7" s="293"/>
      <c r="B7" s="170"/>
      <c r="C7" s="170"/>
      <c r="D7" s="170"/>
      <c r="E7" s="170"/>
      <c r="F7" s="170"/>
      <c r="G7" s="170"/>
      <c r="O7" s="165"/>
      <c r="P7" s="165"/>
    </row>
    <row r="8" spans="1:16" s="164" customFormat="1">
      <c r="A8" s="180"/>
      <c r="B8" s="169"/>
      <c r="C8" s="169"/>
      <c r="D8" s="276" t="s">
        <v>2</v>
      </c>
      <c r="E8" s="276" t="s">
        <v>26</v>
      </c>
      <c r="F8" s="275" t="s">
        <v>136</v>
      </c>
      <c r="O8" s="165"/>
      <c r="P8" s="165"/>
    </row>
    <row r="9" spans="1:16" s="164" customFormat="1">
      <c r="A9" s="353" t="s">
        <v>134</v>
      </c>
      <c r="B9" s="354"/>
      <c r="C9" s="170"/>
      <c r="D9" s="178">
        <v>345137</v>
      </c>
      <c r="E9" s="178">
        <v>562000</v>
      </c>
      <c r="F9" s="179">
        <f>D9+E9</f>
        <v>907137</v>
      </c>
      <c r="O9" s="165"/>
      <c r="P9" s="165"/>
    </row>
    <row r="10" spans="1:16" s="164" customFormat="1">
      <c r="A10" s="355" t="s">
        <v>135</v>
      </c>
      <c r="B10" s="356"/>
      <c r="C10" s="232"/>
      <c r="D10" s="291">
        <v>357985</v>
      </c>
      <c r="E10" s="291">
        <v>600152</v>
      </c>
      <c r="F10" s="292">
        <f>D10+E10</f>
        <v>958137</v>
      </c>
      <c r="O10" s="165"/>
      <c r="P10" s="165"/>
    </row>
    <row r="11" spans="1:16" s="164" customFormat="1">
      <c r="A11" s="190" t="s">
        <v>137</v>
      </c>
      <c r="B11" s="191"/>
      <c r="C11" s="170"/>
      <c r="D11" s="178">
        <f>D10-D9</f>
        <v>12848</v>
      </c>
      <c r="E11" s="178">
        <f>E10-E9</f>
        <v>38152</v>
      </c>
      <c r="F11" s="179">
        <f>D11+E11</f>
        <v>51000</v>
      </c>
      <c r="O11" s="165"/>
      <c r="P11" s="165"/>
    </row>
    <row r="12" spans="1:16" s="164" customFormat="1">
      <c r="A12" s="192" t="s">
        <v>138</v>
      </c>
      <c r="B12" s="193"/>
      <c r="C12" s="186"/>
      <c r="D12" s="175">
        <f>D11/D9</f>
        <v>3.7225797292089809E-2</v>
      </c>
      <c r="E12" s="175">
        <f>E11/E9</f>
        <v>6.7886120996441285E-2</v>
      </c>
      <c r="F12" s="176">
        <f>F11/F9</f>
        <v>5.6220835441614665E-2</v>
      </c>
      <c r="O12" s="165"/>
      <c r="P12" s="165"/>
    </row>
    <row r="14" spans="1:16" s="164" customFormat="1" ht="23.25">
      <c r="A14" s="295" t="s">
        <v>193</v>
      </c>
      <c r="O14" s="165"/>
      <c r="P14" s="165"/>
    </row>
    <row r="15" spans="1:16" s="164" customFormat="1" ht="23.25">
      <c r="A15" s="272"/>
      <c r="J15" s="274"/>
      <c r="O15" s="165"/>
      <c r="P15" s="165"/>
    </row>
    <row r="16" spans="1:16" s="164" customFormat="1" ht="18.75">
      <c r="A16" s="287" t="s">
        <v>188</v>
      </c>
      <c r="N16" s="165"/>
      <c r="O16" s="165"/>
    </row>
    <row r="17" spans="1:16" s="164" customFormat="1" ht="18.75">
      <c r="A17" s="287"/>
      <c r="N17" s="165"/>
      <c r="O17" s="165"/>
    </row>
    <row r="18" spans="1:16" s="164" customFormat="1">
      <c r="A18" s="286" t="s">
        <v>194</v>
      </c>
      <c r="B18" s="307"/>
      <c r="C18" s="307"/>
      <c r="D18" s="308"/>
      <c r="N18" s="165"/>
      <c r="O18" s="165"/>
    </row>
    <row r="19" spans="1:16" s="164" customFormat="1">
      <c r="A19" s="180" t="s">
        <v>197</v>
      </c>
      <c r="B19" s="169"/>
      <c r="C19" s="169"/>
      <c r="D19" s="169"/>
      <c r="E19" s="169"/>
      <c r="F19" s="306">
        <f>SUM(J91)*1.15</f>
        <v>646.94502645542161</v>
      </c>
      <c r="N19" s="165"/>
      <c r="O19" s="165"/>
    </row>
    <row r="20" spans="1:16" s="164" customFormat="1">
      <c r="A20" s="171" t="s">
        <v>195</v>
      </c>
      <c r="B20" s="170"/>
      <c r="C20" s="170"/>
      <c r="D20" s="170"/>
      <c r="E20" s="170"/>
      <c r="F20" s="200">
        <f>SUM(D91)*0.5</f>
        <v>297.35837395376984</v>
      </c>
      <c r="N20" s="165"/>
      <c r="O20" s="165"/>
    </row>
    <row r="21" spans="1:16" s="164" customFormat="1">
      <c r="A21" s="174" t="s">
        <v>196</v>
      </c>
      <c r="B21" s="186"/>
      <c r="C21" s="186"/>
      <c r="D21" s="186"/>
      <c r="E21" s="186"/>
      <c r="F21" s="201">
        <f>SUM(J91)*0.5</f>
        <v>281.28044628496593</v>
      </c>
      <c r="N21" s="165"/>
      <c r="O21" s="165"/>
    </row>
    <row r="22" spans="1:16" s="164" customFormat="1">
      <c r="N22" s="165"/>
      <c r="O22" s="165"/>
    </row>
    <row r="23" spans="1:16" s="164" customFormat="1">
      <c r="A23" s="167"/>
      <c r="D23" s="348" t="s">
        <v>2</v>
      </c>
      <c r="E23" s="344"/>
      <c r="F23" s="344"/>
      <c r="G23" s="344"/>
      <c r="H23" s="344"/>
      <c r="I23" s="344"/>
      <c r="J23" s="349" t="s">
        <v>26</v>
      </c>
      <c r="K23" s="344"/>
      <c r="L23" s="344"/>
      <c r="M23" s="344"/>
      <c r="N23" s="344"/>
      <c r="O23" s="345"/>
    </row>
    <row r="24" spans="1:16" s="164" customFormat="1">
      <c r="A24" s="167"/>
      <c r="D24" s="338" t="s">
        <v>135</v>
      </c>
      <c r="E24" s="339"/>
      <c r="F24" s="338" t="s">
        <v>152</v>
      </c>
      <c r="G24" s="339"/>
      <c r="H24" s="338" t="s">
        <v>153</v>
      </c>
      <c r="I24" s="340"/>
      <c r="J24" s="341" t="s">
        <v>135</v>
      </c>
      <c r="K24" s="339"/>
      <c r="L24" s="338" t="s">
        <v>152</v>
      </c>
      <c r="M24" s="339"/>
      <c r="N24" s="338" t="s">
        <v>153</v>
      </c>
      <c r="O24" s="339"/>
    </row>
    <row r="25" spans="1:16" s="164" customFormat="1" ht="30">
      <c r="A25" s="167"/>
      <c r="D25" s="235" t="s">
        <v>145</v>
      </c>
      <c r="E25" s="181" t="s">
        <v>151</v>
      </c>
      <c r="F25" s="235" t="s">
        <v>145</v>
      </c>
      <c r="G25" s="181" t="s">
        <v>151</v>
      </c>
      <c r="H25" s="235" t="s">
        <v>154</v>
      </c>
      <c r="I25" s="221" t="s">
        <v>155</v>
      </c>
      <c r="J25" s="249" t="s">
        <v>145</v>
      </c>
      <c r="K25" s="181" t="s">
        <v>151</v>
      </c>
      <c r="L25" s="235" t="s">
        <v>145</v>
      </c>
      <c r="M25" s="181" t="s">
        <v>149</v>
      </c>
      <c r="N25" s="235" t="s">
        <v>154</v>
      </c>
      <c r="O25" s="222" t="s">
        <v>155</v>
      </c>
    </row>
    <row r="26" spans="1:16" s="164" customFormat="1">
      <c r="A26" s="168" t="s">
        <v>14</v>
      </c>
      <c r="B26" s="169"/>
      <c r="C26" s="169"/>
      <c r="D26" s="180"/>
      <c r="E26" s="177"/>
      <c r="F26" s="180"/>
      <c r="G26" s="177"/>
      <c r="H26" s="180"/>
      <c r="I26" s="169"/>
      <c r="J26" s="253"/>
      <c r="K26" s="177"/>
      <c r="L26" s="180"/>
      <c r="M26" s="177"/>
      <c r="N26" s="281"/>
      <c r="O26" s="280"/>
      <c r="P26" s="165"/>
    </row>
    <row r="27" spans="1:16" s="164" customFormat="1">
      <c r="A27" s="171"/>
      <c r="B27" s="170" t="s">
        <v>145</v>
      </c>
      <c r="C27" s="170"/>
      <c r="D27" s="171"/>
      <c r="E27" s="181"/>
      <c r="F27" s="171"/>
      <c r="G27" s="181"/>
      <c r="H27" s="171"/>
      <c r="I27" s="170"/>
      <c r="J27" s="251">
        <v>646.95000000000005</v>
      </c>
      <c r="K27" s="234">
        <f>SUM(J59*J27)</f>
        <v>646.95000000000005</v>
      </c>
      <c r="L27" s="216">
        <f>SUM('FY19 Final'!I33)</f>
        <v>235</v>
      </c>
      <c r="M27" s="234">
        <f>SUM('FY19 Final'!L34)</f>
        <v>235</v>
      </c>
      <c r="N27" s="244">
        <f>SUM(J27-L27)</f>
        <v>411.95000000000005</v>
      </c>
      <c r="O27" s="240">
        <f>SUM(N27/L27)</f>
        <v>1.7529787234042555</v>
      </c>
    </row>
    <row r="28" spans="1:16" s="164" customFormat="1">
      <c r="A28" s="171"/>
      <c r="B28" s="170" t="s">
        <v>158</v>
      </c>
      <c r="C28" s="170"/>
      <c r="D28" s="171"/>
      <c r="E28" s="181"/>
      <c r="F28" s="171"/>
      <c r="G28" s="181"/>
      <c r="H28" s="171"/>
      <c r="I28" s="170"/>
      <c r="J28" s="254"/>
      <c r="K28" s="234">
        <v>1853</v>
      </c>
      <c r="L28" s="216"/>
      <c r="M28" s="234">
        <f>SUM('FY19 Final'!L36)</f>
        <v>2500</v>
      </c>
      <c r="N28" s="277"/>
      <c r="O28" s="184"/>
    </row>
    <row r="29" spans="1:16" s="164" customFormat="1">
      <c r="A29" s="174"/>
      <c r="B29" s="228" t="s">
        <v>160</v>
      </c>
      <c r="C29" s="228"/>
      <c r="D29" s="229"/>
      <c r="E29" s="231"/>
      <c r="F29" s="229"/>
      <c r="G29" s="231"/>
      <c r="H29" s="229"/>
      <c r="I29" s="228"/>
      <c r="J29" s="252"/>
      <c r="K29" s="238">
        <f>SUM(K27:K28)</f>
        <v>2499.9499999999998</v>
      </c>
      <c r="L29" s="243"/>
      <c r="M29" s="238">
        <f>SUM(M27:M28)</f>
        <v>2735</v>
      </c>
      <c r="N29" s="245"/>
      <c r="O29" s="242"/>
    </row>
    <row r="30" spans="1:16" s="164" customFormat="1">
      <c r="A30" s="241" t="s">
        <v>159</v>
      </c>
      <c r="B30" s="170"/>
      <c r="C30" s="170"/>
      <c r="D30" s="171"/>
      <c r="E30" s="273"/>
      <c r="F30" s="171"/>
      <c r="G30" s="181"/>
      <c r="H30" s="171"/>
      <c r="I30" s="170"/>
      <c r="J30" s="254"/>
      <c r="K30" s="234"/>
      <c r="L30" s="171"/>
      <c r="M30" s="234"/>
      <c r="N30" s="277"/>
      <c r="O30" s="184"/>
    </row>
    <row r="31" spans="1:16" s="164" customFormat="1">
      <c r="A31" s="171"/>
      <c r="B31" s="170" t="s">
        <v>145</v>
      </c>
      <c r="C31" s="170"/>
      <c r="D31" s="239">
        <v>297.36</v>
      </c>
      <c r="E31" s="234">
        <f>SUM(D31*F60)</f>
        <v>1486.8000000000002</v>
      </c>
      <c r="F31" s="216">
        <f>SUM('FY19 Final'!D39)</f>
        <v>238</v>
      </c>
      <c r="G31" s="234">
        <f>SUM('FY19 Final'!G40)</f>
        <v>1190</v>
      </c>
      <c r="H31" s="216">
        <f>SUM(D31-F31)</f>
        <v>59.360000000000014</v>
      </c>
      <c r="I31" s="182">
        <f>SUM(H31/F31)</f>
        <v>0.24941176470588242</v>
      </c>
      <c r="J31" s="251">
        <v>281.27999999999997</v>
      </c>
      <c r="K31" s="234">
        <f>SUM(J31*J60)</f>
        <v>1125.1199999999999</v>
      </c>
      <c r="L31" s="216">
        <f>SUM('FY19 Final'!I39)</f>
        <v>276</v>
      </c>
      <c r="M31" s="234">
        <f>SUM('FY19 Final'!L40)</f>
        <v>1104</v>
      </c>
      <c r="N31" s="244">
        <f>SUM(J31-L31)</f>
        <v>5.2799999999999727</v>
      </c>
      <c r="O31" s="240">
        <f>SUM(N31/L31)</f>
        <v>1.9130434782608598E-2</v>
      </c>
    </row>
    <row r="32" spans="1:16" s="164" customFormat="1">
      <c r="A32" s="174"/>
      <c r="B32" s="228" t="s">
        <v>160</v>
      </c>
      <c r="C32" s="228"/>
      <c r="D32" s="229"/>
      <c r="E32" s="238">
        <f>SUM(E31)</f>
        <v>1486.8000000000002</v>
      </c>
      <c r="F32" s="243"/>
      <c r="G32" s="238">
        <f>SUM(G31)</f>
        <v>1190</v>
      </c>
      <c r="H32" s="229"/>
      <c r="I32" s="228"/>
      <c r="J32" s="252"/>
      <c r="K32" s="238">
        <f>SUM(K31)</f>
        <v>1125.1199999999999</v>
      </c>
      <c r="L32" s="243"/>
      <c r="M32" s="238">
        <f>SUM(M31)</f>
        <v>1104</v>
      </c>
      <c r="N32" s="245"/>
      <c r="O32" s="242"/>
    </row>
    <row r="33" spans="1:16" s="164" customFormat="1">
      <c r="D33" s="274"/>
      <c r="E33" s="188"/>
      <c r="G33" s="188"/>
      <c r="K33" s="188"/>
      <c r="M33" s="188"/>
      <c r="N33" s="165"/>
      <c r="O33" s="165"/>
    </row>
    <row r="34" spans="1:16" s="164" customFormat="1" ht="18.75">
      <c r="A34" s="287" t="s">
        <v>179</v>
      </c>
      <c r="D34" s="348" t="s">
        <v>2</v>
      </c>
      <c r="E34" s="344"/>
      <c r="F34" s="344"/>
      <c r="G34" s="344"/>
      <c r="H34" s="344"/>
      <c r="I34" s="344"/>
      <c r="J34" s="349" t="s">
        <v>26</v>
      </c>
      <c r="K34" s="344"/>
      <c r="L34" s="344"/>
      <c r="M34" s="344"/>
      <c r="N34" s="344"/>
      <c r="O34" s="345"/>
    </row>
    <row r="35" spans="1:16" s="164" customFormat="1">
      <c r="B35" s="170"/>
      <c r="C35" s="170"/>
      <c r="D35" s="338" t="s">
        <v>135</v>
      </c>
      <c r="E35" s="339"/>
      <c r="F35" s="338" t="s">
        <v>152</v>
      </c>
      <c r="G35" s="339"/>
      <c r="H35" s="210"/>
      <c r="I35" s="211"/>
      <c r="J35" s="341" t="s">
        <v>135</v>
      </c>
      <c r="K35" s="339"/>
      <c r="L35" s="338" t="s">
        <v>152</v>
      </c>
      <c r="M35" s="339"/>
      <c r="N35" s="278"/>
      <c r="O35" s="184"/>
    </row>
    <row r="36" spans="1:16" s="164" customFormat="1">
      <c r="B36" s="170"/>
      <c r="C36" s="170"/>
      <c r="D36" s="171"/>
      <c r="E36" s="181" t="s">
        <v>151</v>
      </c>
      <c r="F36" s="171"/>
      <c r="G36" s="181" t="s">
        <v>151</v>
      </c>
      <c r="H36" s="221"/>
      <c r="I36" s="221"/>
      <c r="J36" s="254"/>
      <c r="K36" s="181" t="s">
        <v>151</v>
      </c>
      <c r="L36" s="171"/>
      <c r="M36" s="181" t="s">
        <v>151</v>
      </c>
      <c r="N36" s="278"/>
      <c r="O36" s="184"/>
    </row>
    <row r="37" spans="1:16" s="164" customFormat="1">
      <c r="A37" s="180"/>
      <c r="B37" s="169" t="s">
        <v>161</v>
      </c>
      <c r="C37" s="169"/>
      <c r="D37" s="180"/>
      <c r="E37" s="247">
        <v>1500</v>
      </c>
      <c r="F37" s="180"/>
      <c r="G37" s="247">
        <f>SUM('FY19 Final'!G46)</f>
        <v>1500</v>
      </c>
      <c r="H37" s="246"/>
      <c r="I37" s="185"/>
      <c r="J37" s="253"/>
      <c r="K37" s="247"/>
      <c r="L37" s="180"/>
      <c r="M37" s="247"/>
      <c r="N37" s="278"/>
      <c r="O37" s="184"/>
    </row>
    <row r="38" spans="1:16" s="164" customFormat="1">
      <c r="A38" s="171"/>
      <c r="B38" s="170" t="s">
        <v>162</v>
      </c>
      <c r="C38" s="170"/>
      <c r="D38" s="171"/>
      <c r="E38" s="234">
        <v>50300</v>
      </c>
      <c r="F38" s="217"/>
      <c r="G38" s="187">
        <f>SUM('FY19 Final'!G48)</f>
        <v>45637</v>
      </c>
      <c r="H38" s="215"/>
      <c r="I38" s="182"/>
      <c r="J38" s="254"/>
      <c r="K38" s="234"/>
      <c r="L38" s="171"/>
      <c r="M38" s="234"/>
      <c r="N38" s="278"/>
      <c r="O38" s="184"/>
    </row>
    <row r="39" spans="1:16" s="164" customFormat="1">
      <c r="A39" s="171"/>
      <c r="B39" s="170" t="s">
        <v>180</v>
      </c>
      <c r="C39" s="170"/>
      <c r="D39" s="171"/>
      <c r="E39" s="181"/>
      <c r="F39" s="171"/>
      <c r="G39" s="181"/>
      <c r="H39" s="215"/>
      <c r="I39" s="182"/>
      <c r="J39" s="254"/>
      <c r="K39" s="234">
        <v>190000</v>
      </c>
      <c r="L39" s="171"/>
      <c r="M39" s="234">
        <f>SUM('FY19 Final'!L50)</f>
        <v>170000</v>
      </c>
      <c r="N39" s="278"/>
      <c r="O39" s="184"/>
    </row>
    <row r="40" spans="1:16" s="164" customFormat="1">
      <c r="A40" s="171"/>
      <c r="B40" s="170" t="s">
        <v>181</v>
      </c>
      <c r="C40" s="170"/>
      <c r="D40" s="171"/>
      <c r="E40" s="234">
        <v>0</v>
      </c>
      <c r="F40" s="233"/>
      <c r="G40" s="234">
        <f>SUM('FY19 Final'!G54)</f>
        <v>0</v>
      </c>
      <c r="H40" s="215"/>
      <c r="I40" s="182"/>
      <c r="J40" s="255"/>
      <c r="K40" s="234">
        <v>0</v>
      </c>
      <c r="L40" s="233"/>
      <c r="M40" s="234">
        <f>SUM('FY19 Final'!L54)</f>
        <v>0</v>
      </c>
      <c r="N40" s="278"/>
      <c r="O40" s="184"/>
    </row>
    <row r="41" spans="1:16" s="164" customFormat="1">
      <c r="A41" s="171"/>
      <c r="B41" s="170" t="s">
        <v>163</v>
      </c>
      <c r="C41" s="170"/>
      <c r="D41" s="171"/>
      <c r="E41" s="234">
        <v>500</v>
      </c>
      <c r="F41" s="233"/>
      <c r="G41" s="234">
        <f>SUM('FY19 Final'!G56)</f>
        <v>500</v>
      </c>
      <c r="H41" s="215"/>
      <c r="I41" s="182"/>
      <c r="J41" s="255"/>
      <c r="K41" s="234">
        <v>1000</v>
      </c>
      <c r="L41" s="233"/>
      <c r="M41" s="234">
        <f>SUM('FY19 Final'!L56)</f>
        <v>1000</v>
      </c>
      <c r="N41" s="278"/>
      <c r="O41" s="184"/>
    </row>
    <row r="42" spans="1:16" s="164" customFormat="1">
      <c r="A42" s="171"/>
      <c r="B42" s="170" t="s">
        <v>182</v>
      </c>
      <c r="C42" s="170"/>
      <c r="D42" s="171"/>
      <c r="E42" s="234">
        <v>0</v>
      </c>
      <c r="F42" s="233"/>
      <c r="G42" s="234">
        <f>SUM('FY19 Final'!G58)</f>
        <v>0</v>
      </c>
      <c r="H42" s="215"/>
      <c r="I42" s="182"/>
      <c r="J42" s="255"/>
      <c r="K42" s="234">
        <v>0</v>
      </c>
      <c r="L42" s="233"/>
      <c r="M42" s="234">
        <f>SUM('FY19 Final'!L58)</f>
        <v>0</v>
      </c>
      <c r="N42" s="278"/>
      <c r="O42" s="184"/>
    </row>
    <row r="43" spans="1:16" s="164" customFormat="1">
      <c r="A43" s="171"/>
      <c r="B43" s="170" t="s">
        <v>164</v>
      </c>
      <c r="C43" s="170"/>
      <c r="D43" s="171"/>
      <c r="E43" s="234">
        <v>1500</v>
      </c>
      <c r="F43" s="233"/>
      <c r="G43" s="234">
        <f>SUM('FY19 Final'!G60)</f>
        <v>0</v>
      </c>
      <c r="H43" s="215"/>
      <c r="I43" s="182"/>
      <c r="J43" s="255"/>
      <c r="K43" s="234">
        <v>3500</v>
      </c>
      <c r="L43" s="233"/>
      <c r="M43" s="234">
        <f>SUM('FY19 Final'!L60)</f>
        <v>0</v>
      </c>
      <c r="N43" s="278"/>
      <c r="O43" s="184"/>
    </row>
    <row r="44" spans="1:16" s="164" customFormat="1">
      <c r="A44" s="171"/>
      <c r="B44" s="170"/>
      <c r="C44" s="170"/>
      <c r="D44" s="171"/>
      <c r="E44" s="181"/>
      <c r="F44" s="171"/>
      <c r="G44" s="181"/>
      <c r="H44" s="170"/>
      <c r="I44" s="170"/>
      <c r="J44" s="254"/>
      <c r="K44" s="181"/>
      <c r="L44" s="171"/>
      <c r="M44" s="181"/>
      <c r="N44" s="278"/>
      <c r="O44" s="184"/>
    </row>
    <row r="45" spans="1:16" s="164" customFormat="1">
      <c r="A45" s="174"/>
      <c r="B45" s="228" t="s">
        <v>165</v>
      </c>
      <c r="C45" s="228"/>
      <c r="D45" s="229"/>
      <c r="E45" s="238">
        <f>SUM(E37:E43)</f>
        <v>53800</v>
      </c>
      <c r="F45" s="248"/>
      <c r="G45" s="238">
        <f>SUM(G37:G43)</f>
        <v>47637</v>
      </c>
      <c r="H45" s="230"/>
      <c r="I45" s="230"/>
      <c r="J45" s="256"/>
      <c r="K45" s="238">
        <f>SUM(K37:K43)</f>
        <v>194500</v>
      </c>
      <c r="L45" s="248"/>
      <c r="M45" s="238">
        <f>SUM(M37:M43)</f>
        <v>171000</v>
      </c>
      <c r="N45" s="257"/>
      <c r="O45" s="258"/>
    </row>
    <row r="47" spans="1:16" s="164" customFormat="1">
      <c r="A47" s="288" t="s">
        <v>189</v>
      </c>
      <c r="B47" s="289"/>
      <c r="C47" s="289"/>
      <c r="D47" s="289"/>
      <c r="E47" s="290">
        <f>SUM(E29+E32+E45)</f>
        <v>55286.8</v>
      </c>
      <c r="F47" s="290"/>
      <c r="G47" s="290">
        <f>SUM(G29+G32+G45)</f>
        <v>48827</v>
      </c>
      <c r="H47" s="290"/>
      <c r="I47" s="290"/>
      <c r="J47" s="290"/>
      <c r="K47" s="290">
        <f>SUM(K29+K32+K45)</f>
        <v>198125.07</v>
      </c>
      <c r="L47" s="290"/>
      <c r="M47" s="290">
        <f t="shared" ref="M47" si="0">SUM(M29+M32+M45)</f>
        <v>174839</v>
      </c>
      <c r="O47" s="165"/>
      <c r="P47" s="165"/>
    </row>
    <row r="48" spans="1:16" s="164" customFormat="1">
      <c r="A48" s="288" t="s">
        <v>190</v>
      </c>
      <c r="B48" s="289"/>
      <c r="C48" s="289"/>
      <c r="D48" s="289"/>
      <c r="E48" s="290">
        <f>SUM(D10-E47)</f>
        <v>302698.2</v>
      </c>
      <c r="F48" s="289"/>
      <c r="G48" s="290">
        <f>SUM(D9-G47)</f>
        <v>296310</v>
      </c>
      <c r="H48" s="289"/>
      <c r="I48" s="289"/>
      <c r="J48" s="289"/>
      <c r="K48" s="290">
        <f>SUM(E10-K47)</f>
        <v>402026.93</v>
      </c>
      <c r="L48" s="289"/>
      <c r="M48" s="290">
        <f>SUM(E9-M47)</f>
        <v>387161</v>
      </c>
      <c r="O48" s="165"/>
      <c r="P48" s="165"/>
    </row>
    <row r="50" spans="1:12" s="164" customFormat="1" ht="23.25">
      <c r="A50" s="295" t="s">
        <v>192</v>
      </c>
    </row>
    <row r="51" spans="1:12" s="164" customFormat="1">
      <c r="A51" s="191"/>
      <c r="B51" s="191"/>
      <c r="C51" s="170"/>
      <c r="D51" s="172"/>
      <c r="E51" s="172"/>
      <c r="F51" s="172"/>
      <c r="G51" s="172"/>
    </row>
    <row r="52" spans="1:12" s="164" customFormat="1">
      <c r="A52" s="194" t="s">
        <v>139</v>
      </c>
      <c r="B52" s="170"/>
      <c r="C52" s="170"/>
      <c r="D52" s="170"/>
      <c r="E52" s="170"/>
      <c r="F52" s="170"/>
    </row>
    <row r="53" spans="1:12" s="164" customFormat="1">
      <c r="A53" s="194"/>
      <c r="B53" s="170"/>
      <c r="C53" s="348" t="s">
        <v>2</v>
      </c>
      <c r="D53" s="344"/>
      <c r="E53" s="344"/>
      <c r="F53" s="345"/>
      <c r="G53" s="348" t="s">
        <v>26</v>
      </c>
      <c r="H53" s="344"/>
      <c r="I53" s="344"/>
      <c r="J53" s="345"/>
    </row>
    <row r="54" spans="1:12" s="164" customFormat="1" ht="60">
      <c r="A54" s="180"/>
      <c r="B54" s="169"/>
      <c r="C54" s="350"/>
      <c r="D54" s="342"/>
      <c r="E54" s="204" t="s">
        <v>172</v>
      </c>
      <c r="F54" s="181"/>
      <c r="G54" s="210"/>
      <c r="H54" s="211"/>
      <c r="I54" s="204" t="s">
        <v>172</v>
      </c>
      <c r="J54" s="181"/>
    </row>
    <row r="55" spans="1:12" s="164" customFormat="1">
      <c r="A55" s="171"/>
      <c r="B55" s="170"/>
      <c r="C55" s="283" t="s">
        <v>140</v>
      </c>
      <c r="D55" s="279" t="s">
        <v>141</v>
      </c>
      <c r="E55" s="220">
        <v>0.98</v>
      </c>
      <c r="F55" s="205" t="s">
        <v>148</v>
      </c>
      <c r="G55" s="283" t="s">
        <v>140</v>
      </c>
      <c r="H55" s="279" t="s">
        <v>141</v>
      </c>
      <c r="I55" s="220">
        <v>0.98</v>
      </c>
      <c r="J55" s="219" t="s">
        <v>148</v>
      </c>
    </row>
    <row r="56" spans="1:12" s="164" customFormat="1">
      <c r="A56" s="171" t="s">
        <v>43</v>
      </c>
      <c r="B56" s="170"/>
      <c r="C56" s="206">
        <v>9292000</v>
      </c>
      <c r="D56" s="172">
        <f>C56/C$61</f>
        <v>0.56515181004281823</v>
      </c>
      <c r="E56" s="202">
        <f>SUM(C56*$E$55)</f>
        <v>9106160</v>
      </c>
      <c r="F56" s="207">
        <v>417</v>
      </c>
      <c r="G56" s="212">
        <v>9222400</v>
      </c>
      <c r="H56" s="172">
        <f>G56/G$61</f>
        <v>0.66811072393633586</v>
      </c>
      <c r="I56" s="202">
        <f>SUM(G56*$E$55)</f>
        <v>9037952</v>
      </c>
      <c r="J56" s="181">
        <v>414</v>
      </c>
    </row>
    <row r="57" spans="1:12" s="164" customFormat="1">
      <c r="A57" s="351" t="s">
        <v>132</v>
      </c>
      <c r="B57" s="352"/>
      <c r="C57" s="206">
        <v>6141700</v>
      </c>
      <c r="D57" s="173">
        <f>C57/C$61</f>
        <v>0.37354637018295056</v>
      </c>
      <c r="E57" s="202">
        <f t="shared" ref="E57:E61" si="1">SUM(C57*$E$55)</f>
        <v>6018866</v>
      </c>
      <c r="F57" s="207">
        <v>72</v>
      </c>
      <c r="G57" s="213">
        <v>3573400</v>
      </c>
      <c r="H57" s="173">
        <f>G57/G$61</f>
        <v>0.25887262110883313</v>
      </c>
      <c r="I57" s="202">
        <f t="shared" ref="I57:I61" si="2">SUM(G57*$E$55)</f>
        <v>3501932</v>
      </c>
      <c r="J57" s="181">
        <v>74</v>
      </c>
    </row>
    <row r="58" spans="1:12" s="164" customFormat="1">
      <c r="A58" s="171" t="s">
        <v>133</v>
      </c>
      <c r="B58" s="170"/>
      <c r="C58" s="206">
        <v>1007900</v>
      </c>
      <c r="D58" s="172">
        <f>C58/C$61</f>
        <v>6.1301819774231221E-2</v>
      </c>
      <c r="E58" s="202">
        <f t="shared" si="1"/>
        <v>987742</v>
      </c>
      <c r="F58" s="207">
        <v>3</v>
      </c>
      <c r="G58" s="212">
        <v>1007900</v>
      </c>
      <c r="H58" s="172">
        <f>G58/G$61</f>
        <v>7.3016654954830951E-2</v>
      </c>
      <c r="I58" s="202">
        <f t="shared" si="2"/>
        <v>987742</v>
      </c>
      <c r="J58" s="181">
        <v>3</v>
      </c>
    </row>
    <row r="59" spans="1:12" s="164" customFormat="1">
      <c r="A59" s="171" t="s">
        <v>14</v>
      </c>
      <c r="B59" s="170"/>
      <c r="C59" s="206"/>
      <c r="D59" s="172"/>
      <c r="E59" s="202"/>
      <c r="F59" s="227">
        <v>0</v>
      </c>
      <c r="G59" s="212"/>
      <c r="H59" s="172"/>
      <c r="I59" s="202"/>
      <c r="J59" s="181">
        <v>1</v>
      </c>
    </row>
    <row r="60" spans="1:12" s="164" customFormat="1">
      <c r="A60" s="171" t="s">
        <v>159</v>
      </c>
      <c r="B60" s="170"/>
      <c r="C60" s="206"/>
      <c r="D60" s="172"/>
      <c r="E60" s="202"/>
      <c r="F60" s="207">
        <v>5</v>
      </c>
      <c r="G60" s="212"/>
      <c r="H60" s="172"/>
      <c r="I60" s="202"/>
      <c r="J60" s="181">
        <v>4</v>
      </c>
    </row>
    <row r="61" spans="1:12" s="164" customFormat="1">
      <c r="A61" s="174" t="s">
        <v>41</v>
      </c>
      <c r="B61" s="186"/>
      <c r="C61" s="208">
        <f>SUM(C56:C58)</f>
        <v>16441600</v>
      </c>
      <c r="D61" s="175">
        <f>SUM(D56:D58)</f>
        <v>1</v>
      </c>
      <c r="E61" s="203">
        <f t="shared" si="1"/>
        <v>16112768</v>
      </c>
      <c r="F61" s="209"/>
      <c r="G61" s="208">
        <f>SUM(G56:G58)</f>
        <v>13803700</v>
      </c>
      <c r="H61" s="175">
        <f>G61/G$61</f>
        <v>1</v>
      </c>
      <c r="I61" s="203">
        <f t="shared" si="2"/>
        <v>13527626</v>
      </c>
      <c r="J61" s="214"/>
    </row>
    <row r="64" spans="1:12" s="164" customFormat="1">
      <c r="A64" s="167" t="s">
        <v>157</v>
      </c>
      <c r="H64" s="167" t="s">
        <v>183</v>
      </c>
      <c r="I64" s="167"/>
      <c r="J64" s="167"/>
      <c r="K64" s="167"/>
      <c r="L64" s="167"/>
    </row>
    <row r="65" spans="1:12" s="164" customFormat="1">
      <c r="A65" s="167"/>
      <c r="C65" s="338" t="s">
        <v>2</v>
      </c>
      <c r="D65" s="340"/>
      <c r="E65" s="340"/>
      <c r="F65" s="339"/>
      <c r="H65" s="167" t="s">
        <v>184</v>
      </c>
      <c r="I65" s="167"/>
      <c r="J65" s="167"/>
      <c r="K65" s="167"/>
      <c r="L65" s="167"/>
    </row>
    <row r="66" spans="1:12" s="164" customFormat="1">
      <c r="A66" s="180"/>
      <c r="B66" s="169"/>
      <c r="C66" s="169"/>
      <c r="D66" s="169" t="s">
        <v>156</v>
      </c>
      <c r="E66" s="169" t="s">
        <v>166</v>
      </c>
      <c r="F66" s="177" t="s">
        <v>167</v>
      </c>
      <c r="H66" s="167" t="s">
        <v>185</v>
      </c>
      <c r="I66" s="167"/>
      <c r="J66" s="167"/>
      <c r="K66" s="167"/>
      <c r="L66" s="167"/>
    </row>
    <row r="67" spans="1:12" s="164" customFormat="1">
      <c r="A67" s="351" t="s">
        <v>43</v>
      </c>
      <c r="B67" s="352"/>
      <c r="C67" s="352"/>
      <c r="D67" s="182">
        <f>SUM(-(K68)*5/100)</f>
        <v>-3.0102956517231768E-2</v>
      </c>
      <c r="E67" s="182">
        <f>SUM(D56+D67)</f>
        <v>0.53504885352558651</v>
      </c>
      <c r="F67" s="195">
        <f>SUM('FY19 Final'!C11)</f>
        <v>0.57700966350845162</v>
      </c>
      <c r="J67" s="286" t="s">
        <v>186</v>
      </c>
      <c r="K67" s="344" t="s">
        <v>187</v>
      </c>
      <c r="L67" s="345"/>
    </row>
    <row r="68" spans="1:12" s="164" customFormat="1">
      <c r="A68" s="190" t="s">
        <v>132</v>
      </c>
      <c r="B68" s="191"/>
      <c r="C68" s="170"/>
      <c r="D68" s="182">
        <f>SUM(-(K69)*5/100)</f>
        <v>-1.9897043482768228E-2</v>
      </c>
      <c r="E68" s="182">
        <f>SUM(D57+D68)</f>
        <v>0.35364932670018234</v>
      </c>
      <c r="F68" s="195">
        <f>SUM('FY19 Final'!C18)</f>
        <v>0.30546539078976365</v>
      </c>
      <c r="H68" s="168" t="s">
        <v>43</v>
      </c>
      <c r="I68" s="169"/>
      <c r="J68" s="284">
        <f>SUM(C56)</f>
        <v>9292000</v>
      </c>
      <c r="K68" s="185">
        <f>SUM(J68/J70)</f>
        <v>0.60205913034463543</v>
      </c>
      <c r="L68" s="177"/>
    </row>
    <row r="69" spans="1:12" s="164" customFormat="1">
      <c r="A69" s="171" t="s">
        <v>133</v>
      </c>
      <c r="B69" s="170"/>
      <c r="C69" s="170"/>
      <c r="D69" s="182">
        <v>0.05</v>
      </c>
      <c r="E69" s="182">
        <f>SUM(D58+D69)</f>
        <v>0.11130181977423123</v>
      </c>
      <c r="F69" s="195">
        <f>SUM('FY19 Final'!C25)</f>
        <v>0.11752494570178476</v>
      </c>
      <c r="H69" s="241" t="s">
        <v>132</v>
      </c>
      <c r="I69" s="170"/>
      <c r="J69" s="202">
        <f>SUM(C57)</f>
        <v>6141700</v>
      </c>
      <c r="K69" s="182">
        <f>SUM(J69/J70)</f>
        <v>0.39794086965536457</v>
      </c>
      <c r="L69" s="181"/>
    </row>
    <row r="70" spans="1:12" s="164" customFormat="1">
      <c r="A70" s="174" t="s">
        <v>142</v>
      </c>
      <c r="B70" s="186"/>
      <c r="C70" s="186"/>
      <c r="D70" s="186"/>
      <c r="E70" s="196">
        <f>SUM(E67:E69)</f>
        <v>1</v>
      </c>
      <c r="F70" s="197">
        <f>SUM(F67:F69)</f>
        <v>1</v>
      </c>
      <c r="H70" s="285" t="s">
        <v>142</v>
      </c>
      <c r="I70" s="186"/>
      <c r="J70" s="203">
        <f>SUM(J68:J69)</f>
        <v>15433700</v>
      </c>
      <c r="K70" s="186"/>
      <c r="L70" s="214"/>
    </row>
    <row r="72" spans="1:12" s="164" customFormat="1">
      <c r="A72" s="167" t="s">
        <v>143</v>
      </c>
    </row>
    <row r="73" spans="1:12" s="164" customFormat="1">
      <c r="A73" s="194"/>
      <c r="B73" s="170"/>
      <c r="C73" s="334" t="s">
        <v>135</v>
      </c>
      <c r="D73" s="337"/>
      <c r="E73" s="334" t="s">
        <v>134</v>
      </c>
      <c r="F73" s="337"/>
    </row>
    <row r="74" spans="1:12" s="164" customFormat="1">
      <c r="A74" s="180"/>
      <c r="B74" s="169"/>
      <c r="C74" s="168" t="s">
        <v>2</v>
      </c>
      <c r="D74" s="198" t="s">
        <v>26</v>
      </c>
      <c r="E74" s="168" t="s">
        <v>2</v>
      </c>
      <c r="F74" s="198" t="s">
        <v>26</v>
      </c>
    </row>
    <row r="75" spans="1:12" s="164" customFormat="1">
      <c r="A75" s="346" t="s">
        <v>191</v>
      </c>
      <c r="B75" s="347"/>
      <c r="C75" s="233">
        <f>SUM(E48)</f>
        <v>302698.2</v>
      </c>
      <c r="D75" s="234">
        <f>SUM(K48)</f>
        <v>402026.93</v>
      </c>
      <c r="E75" s="309">
        <f>SUM(G48)</f>
        <v>296310</v>
      </c>
      <c r="F75" s="200">
        <f>SUM(M48)</f>
        <v>387161</v>
      </c>
    </row>
    <row r="76" spans="1:12" s="164" customFormat="1">
      <c r="A76" s="346"/>
      <c r="B76" s="347"/>
      <c r="C76" s="233"/>
      <c r="D76" s="234"/>
      <c r="E76" s="217"/>
      <c r="F76" s="200"/>
    </row>
    <row r="77" spans="1:12" s="164" customFormat="1">
      <c r="A77" s="171" t="s">
        <v>43</v>
      </c>
      <c r="B77" s="170"/>
      <c r="C77" s="216">
        <f>SUM($C$75)*E67</f>
        <v>161958.32487425869</v>
      </c>
      <c r="D77" s="200">
        <f>SUM($D$75)*H56</f>
        <v>268598.50324420264</v>
      </c>
      <c r="E77" s="218">
        <f>SUM('FY19 Final'!G17)</f>
        <v>172347.01639333941</v>
      </c>
      <c r="F77" s="200">
        <f>SUM('FY19 Final'!L17)</f>
        <v>257191.10883620693</v>
      </c>
    </row>
    <row r="78" spans="1:12" s="164" customFormat="1">
      <c r="A78" s="171" t="s">
        <v>132</v>
      </c>
      <c r="B78" s="170"/>
      <c r="C78" s="216">
        <f>SUM($C$75)*E68</f>
        <v>107049.01462335714</v>
      </c>
      <c r="D78" s="200">
        <f t="shared" ref="D78:D79" si="3">SUM($D$75)*H57</f>
        <v>104073.76512543738</v>
      </c>
      <c r="E78" s="218">
        <f>SUM('FY19 Final'!G24)</f>
        <v>89069.449944914872</v>
      </c>
      <c r="F78" s="200">
        <f>SUM('FY19 Final'!L24)</f>
        <v>100646.7640086207</v>
      </c>
    </row>
    <row r="79" spans="1:12" s="164" customFormat="1">
      <c r="A79" s="174" t="s">
        <v>133</v>
      </c>
      <c r="B79" s="186"/>
      <c r="C79" s="296">
        <f>SUM($C$75)*E69</f>
        <v>33690.860502384203</v>
      </c>
      <c r="D79" s="201">
        <f t="shared" si="3"/>
        <v>29354.661630359977</v>
      </c>
      <c r="E79" s="297">
        <f>SUM('FY19 Final'!G31)</f>
        <v>34823.816660895842</v>
      </c>
      <c r="F79" s="201">
        <f>SUM('FY19 Final'!L31)</f>
        <v>29323.127155172413</v>
      </c>
    </row>
    <row r="81" spans="1:23" ht="23.25">
      <c r="A81" s="295" t="s">
        <v>144</v>
      </c>
    </row>
    <row r="82" spans="1:23" ht="23.25">
      <c r="A82" s="295"/>
    </row>
    <row r="83" spans="1:23">
      <c r="A83" s="167"/>
      <c r="C83" s="180"/>
      <c r="D83" s="348" t="s">
        <v>2</v>
      </c>
      <c r="E83" s="344"/>
      <c r="F83" s="344"/>
      <c r="G83" s="344"/>
      <c r="H83" s="344"/>
      <c r="I83" s="344"/>
      <c r="J83" s="349" t="s">
        <v>26</v>
      </c>
      <c r="K83" s="344"/>
      <c r="L83" s="344"/>
      <c r="M83" s="344"/>
      <c r="N83" s="344"/>
      <c r="O83" s="345"/>
      <c r="P83" s="164"/>
    </row>
    <row r="84" spans="1:23">
      <c r="C84" s="171"/>
      <c r="D84" s="338" t="s">
        <v>135</v>
      </c>
      <c r="E84" s="339"/>
      <c r="F84" s="338" t="s">
        <v>152</v>
      </c>
      <c r="G84" s="339"/>
      <c r="H84" s="338" t="s">
        <v>153</v>
      </c>
      <c r="I84" s="340"/>
      <c r="J84" s="341" t="s">
        <v>135</v>
      </c>
      <c r="K84" s="339"/>
      <c r="L84" s="338" t="s">
        <v>152</v>
      </c>
      <c r="M84" s="339"/>
      <c r="N84" s="342" t="s">
        <v>153</v>
      </c>
      <c r="O84" s="343"/>
      <c r="P84" s="164"/>
    </row>
    <row r="85" spans="1:23" ht="51.75" customHeight="1">
      <c r="C85" s="171" t="s">
        <v>146</v>
      </c>
      <c r="D85" s="235" t="s">
        <v>150</v>
      </c>
      <c r="E85" s="181" t="s">
        <v>151</v>
      </c>
      <c r="F85" s="235" t="s">
        <v>150</v>
      </c>
      <c r="G85" s="181" t="s">
        <v>149</v>
      </c>
      <c r="H85" s="235" t="s">
        <v>154</v>
      </c>
      <c r="I85" s="221" t="s">
        <v>155</v>
      </c>
      <c r="J85" s="249" t="s">
        <v>150</v>
      </c>
      <c r="K85" s="181" t="s">
        <v>151</v>
      </c>
      <c r="L85" s="235" t="s">
        <v>150</v>
      </c>
      <c r="M85" s="181" t="s">
        <v>149</v>
      </c>
      <c r="N85" s="221" t="s">
        <v>154</v>
      </c>
      <c r="O85" s="222" t="s">
        <v>155</v>
      </c>
      <c r="P85" s="164"/>
    </row>
    <row r="86" spans="1:23">
      <c r="A86" s="168" t="s">
        <v>43</v>
      </c>
      <c r="B86" s="169"/>
      <c r="C86" s="180"/>
      <c r="D86" s="236"/>
      <c r="E86" s="177"/>
      <c r="F86" s="236"/>
      <c r="G86" s="177"/>
      <c r="H86" s="236"/>
      <c r="I86" s="225"/>
      <c r="J86" s="250"/>
      <c r="K86" s="177"/>
      <c r="L86" s="236"/>
      <c r="M86" s="177"/>
      <c r="N86" s="225"/>
      <c r="O86" s="226"/>
      <c r="P86" s="164"/>
    </row>
    <row r="87" spans="1:23">
      <c r="A87" s="171"/>
      <c r="B87" s="170" t="s">
        <v>145</v>
      </c>
      <c r="C87" s="223">
        <v>0.3</v>
      </c>
      <c r="D87" s="304">
        <f>SUM(C77*C87)/F56</f>
        <v>116.51678048507819</v>
      </c>
      <c r="E87" s="234">
        <f>SUM(D87*F56)</f>
        <v>48587.497462277606</v>
      </c>
      <c r="F87" s="237">
        <f>SUM('FY19 Final'!D12)</f>
        <v>141.19996523791662</v>
      </c>
      <c r="G87" s="234">
        <f>SUM('FY19 Final'!G13)</f>
        <v>58597.985573735394</v>
      </c>
      <c r="H87" s="216">
        <f>SUM(D87-F87)</f>
        <v>-24.683184752838429</v>
      </c>
      <c r="I87" s="183">
        <f>SUM(H87/F87)</f>
        <v>-0.1748101333541279</v>
      </c>
      <c r="J87" s="305">
        <f>SUM(D77*C87)/J56</f>
        <v>194.63659655377003</v>
      </c>
      <c r="K87" s="234">
        <f>SUM(J87*J56)</f>
        <v>80579.55097326079</v>
      </c>
      <c r="L87" s="237">
        <f>SUM('FY19 Final'!I12)</f>
        <v>187.27507924966525</v>
      </c>
      <c r="M87" s="234">
        <f>SUM('FY19 Final'!L13)</f>
        <v>77157.332650862081</v>
      </c>
      <c r="N87" s="199">
        <f>SUM(J87-L87)</f>
        <v>7.3615173041047797</v>
      </c>
      <c r="O87" s="224">
        <f>SUM(N87/L87)</f>
        <v>3.930857930269939E-2</v>
      </c>
      <c r="P87" s="164"/>
    </row>
    <row r="88" spans="1:23">
      <c r="A88" s="171"/>
      <c r="B88" s="170" t="s">
        <v>147</v>
      </c>
      <c r="C88" s="223">
        <v>0.7</v>
      </c>
      <c r="D88" s="304">
        <f>SUM(C77*C88)/(E56*0.001)</f>
        <v>12.449905054598325</v>
      </c>
      <c r="E88" s="234">
        <f>SUM(D88)*(E56*0.001)</f>
        <v>113370.82741198108</v>
      </c>
      <c r="F88" s="216">
        <f>SUM('FY19 Final'!D15)</f>
        <v>12.239585752893625</v>
      </c>
      <c r="G88" s="234">
        <f>SUM('FY19 Final'!G16)</f>
        <v>113749.03081960401</v>
      </c>
      <c r="H88" s="216">
        <f>SUM(D88-F88)</f>
        <v>0.21031930170470048</v>
      </c>
      <c r="I88" s="183">
        <f>SUM(H88/F88)</f>
        <v>1.7183531040254184E-2</v>
      </c>
      <c r="J88" s="305">
        <f>SUM(D77*C88)/(I56*0.001)</f>
        <v>20.803269620257094</v>
      </c>
      <c r="K88" s="234">
        <f>SUM(J88)*(I56*0.001)</f>
        <v>188018.95227094184</v>
      </c>
      <c r="L88" s="216">
        <f>SUM('FY19 Final'!I15)</f>
        <v>19.527401477832512</v>
      </c>
      <c r="M88" s="234">
        <f>SUM('FY19 Final'!L16)</f>
        <v>180033.77618534485</v>
      </c>
      <c r="N88" s="199">
        <f>SUM(J88-L88)</f>
        <v>1.2758681424245815</v>
      </c>
      <c r="O88" s="224">
        <f t="shared" ref="O88:O96" si="4">SUM(N88/L88)</f>
        <v>6.5337323241545772E-2</v>
      </c>
      <c r="P88" s="164"/>
    </row>
    <row r="89" spans="1:23" s="166" customFormat="1">
      <c r="A89" s="298"/>
      <c r="B89" s="299" t="s">
        <v>160</v>
      </c>
      <c r="C89" s="298"/>
      <c r="D89" s="298"/>
      <c r="E89" s="300">
        <f>SUM(E87:E88)</f>
        <v>161958.32487425869</v>
      </c>
      <c r="F89" s="298"/>
      <c r="G89" s="300">
        <f>SUM(G87:G88)</f>
        <v>172347.01639333941</v>
      </c>
      <c r="H89" s="298"/>
      <c r="I89" s="299"/>
      <c r="J89" s="301"/>
      <c r="K89" s="300">
        <f>SUM(K87:K88)</f>
        <v>268598.50324420264</v>
      </c>
      <c r="L89" s="298"/>
      <c r="M89" s="300">
        <f>SUM(M87:M88)</f>
        <v>257191.10883620693</v>
      </c>
      <c r="N89" s="299"/>
      <c r="O89" s="302"/>
      <c r="Q89" s="303"/>
      <c r="R89" s="303"/>
      <c r="S89" s="303"/>
      <c r="T89" s="303"/>
      <c r="U89" s="303"/>
      <c r="V89" s="303"/>
      <c r="W89" s="303"/>
    </row>
    <row r="90" spans="1:23">
      <c r="A90" s="168" t="s">
        <v>132</v>
      </c>
      <c r="B90" s="169"/>
      <c r="C90" s="180"/>
      <c r="D90" s="180"/>
      <c r="E90" s="177"/>
      <c r="F90" s="180"/>
      <c r="G90" s="177"/>
      <c r="H90" s="180"/>
      <c r="I90" s="169"/>
      <c r="J90" s="253"/>
      <c r="K90" s="177"/>
      <c r="L90" s="180"/>
      <c r="M90" s="177"/>
      <c r="N90" s="282"/>
      <c r="O90" s="224"/>
      <c r="P90" s="164"/>
    </row>
    <row r="91" spans="1:23">
      <c r="A91" s="171"/>
      <c r="B91" s="170" t="s">
        <v>145</v>
      </c>
      <c r="C91" s="223">
        <v>0.4</v>
      </c>
      <c r="D91" s="304">
        <f>SUM(C78*C91)/F57</f>
        <v>594.71674790753968</v>
      </c>
      <c r="E91" s="234">
        <f>SUM(D91*F57)</f>
        <v>42819.605849342857</v>
      </c>
      <c r="F91" s="237">
        <f>SUM('FY19 Final'!D19)</f>
        <v>475.03706637287928</v>
      </c>
      <c r="G91" s="234">
        <f>SUM('FY19 Final'!G20)</f>
        <v>35627.779977965947</v>
      </c>
      <c r="H91" s="216">
        <f>SUM(D91-F91)</f>
        <v>119.6796815346604</v>
      </c>
      <c r="I91" s="183">
        <f>SUM(H91/F91)</f>
        <v>0.25193756446937576</v>
      </c>
      <c r="J91" s="305">
        <f>SUM(D78*C91)/J57</f>
        <v>562.56089256993187</v>
      </c>
      <c r="K91" s="234">
        <f>SUM(J91*J57)</f>
        <v>41629.506050174961</v>
      </c>
      <c r="L91" s="237">
        <f>SUM('FY19 Final'!I19)</f>
        <v>551.4891178554559</v>
      </c>
      <c r="M91" s="234">
        <f>SUM('FY19 Final'!L20)</f>
        <v>40258.705603448281</v>
      </c>
      <c r="N91" s="199">
        <f>SUM(J91-L91)</f>
        <v>11.071774714475964</v>
      </c>
      <c r="O91" s="224">
        <f t="shared" si="4"/>
        <v>2.0076143582905388E-2</v>
      </c>
      <c r="P91" s="164"/>
    </row>
    <row r="92" spans="1:23">
      <c r="A92" s="171"/>
      <c r="B92" s="170" t="s">
        <v>147</v>
      </c>
      <c r="C92" s="223">
        <v>0.6</v>
      </c>
      <c r="D92" s="304">
        <f>SUM(C78*C92)/(E57*0.001)</f>
        <v>10.671347189655707</v>
      </c>
      <c r="E92" s="234">
        <f>SUM(D92)*(E57*0.001)</f>
        <v>64229.408774014286</v>
      </c>
      <c r="F92" s="216">
        <f>SUM('FY19 Final'!D22)</f>
        <v>10.23369983162967</v>
      </c>
      <c r="G92" s="234">
        <f>SUM('FY19 Final'!G23)</f>
        <v>53441.669966948924</v>
      </c>
      <c r="H92" s="216">
        <f>SUM(D92-F92)</f>
        <v>0.43764735802603738</v>
      </c>
      <c r="I92" s="183">
        <f>SUM(H92/F92)</f>
        <v>4.2765311199902963E-2</v>
      </c>
      <c r="J92" s="305">
        <f>SUM(D78*C92)/(I57*0.001)</f>
        <v>17.831373960220365</v>
      </c>
      <c r="K92" s="234">
        <f>SUM(J92)*(I57*0.001)</f>
        <v>62444.259075262424</v>
      </c>
      <c r="L92" s="216">
        <f>SUM('FY19 Final'!I22)</f>
        <v>16.573106629832445</v>
      </c>
      <c r="M92" s="234">
        <f>SUM('FY19 Final'!L23)</f>
        <v>60388.058405172414</v>
      </c>
      <c r="N92" s="199">
        <f>SUM(J92-L92)</f>
        <v>1.2582673303879197</v>
      </c>
      <c r="O92" s="224">
        <f t="shared" si="4"/>
        <v>7.5922237061033196E-2</v>
      </c>
      <c r="P92" s="164"/>
    </row>
    <row r="93" spans="1:23" s="166" customFormat="1">
      <c r="A93" s="298"/>
      <c r="B93" s="299" t="s">
        <v>160</v>
      </c>
      <c r="C93" s="298"/>
      <c r="D93" s="298"/>
      <c r="E93" s="300">
        <f>SUM(E91:E92)</f>
        <v>107049.01462335714</v>
      </c>
      <c r="F93" s="298"/>
      <c r="G93" s="300">
        <f>SUM(G91:G92)</f>
        <v>89069.449944914872</v>
      </c>
      <c r="H93" s="298"/>
      <c r="I93" s="299"/>
      <c r="J93" s="301"/>
      <c r="K93" s="300">
        <f>SUM(K91:K92)</f>
        <v>104073.76512543738</v>
      </c>
      <c r="L93" s="298"/>
      <c r="M93" s="300">
        <f>SUM(M91:M92)</f>
        <v>100646.7640086207</v>
      </c>
      <c r="N93" s="299"/>
      <c r="O93" s="302"/>
      <c r="Q93" s="303"/>
      <c r="R93" s="303"/>
      <c r="S93" s="303"/>
      <c r="T93" s="303"/>
      <c r="U93" s="303"/>
      <c r="V93" s="303"/>
      <c r="W93" s="303"/>
    </row>
    <row r="94" spans="1:23">
      <c r="A94" s="168" t="s">
        <v>133</v>
      </c>
      <c r="B94" s="169"/>
      <c r="C94" s="180"/>
      <c r="D94" s="180"/>
      <c r="E94" s="177"/>
      <c r="F94" s="180"/>
      <c r="G94" s="177"/>
      <c r="H94" s="180"/>
      <c r="I94" s="169"/>
      <c r="J94" s="253"/>
      <c r="K94" s="177"/>
      <c r="L94" s="180"/>
      <c r="M94" s="177"/>
      <c r="N94" s="282"/>
      <c r="O94" s="224"/>
      <c r="P94" s="164"/>
    </row>
    <row r="95" spans="1:23">
      <c r="A95" s="171"/>
      <c r="B95" s="170" t="s">
        <v>145</v>
      </c>
      <c r="C95" s="223">
        <v>0.5</v>
      </c>
      <c r="D95" s="304">
        <f>SUM(C79*C95)/F58</f>
        <v>5615.1434170640341</v>
      </c>
      <c r="E95" s="234">
        <f>SUM(D95*F58)</f>
        <v>16845.430251192101</v>
      </c>
      <c r="F95" s="237">
        <f>SUM('FY19 Final'!D26)</f>
        <v>5803.9694434826406</v>
      </c>
      <c r="G95" s="234">
        <f>SUM('FY19 Final'!G27)</f>
        <v>17411.908330447921</v>
      </c>
      <c r="H95" s="216">
        <f>SUM(D95-F95)</f>
        <v>-188.82602641860649</v>
      </c>
      <c r="I95" s="183">
        <f>SUM(H95/F95)</f>
        <v>-3.2533945648291082E-2</v>
      </c>
      <c r="J95" s="305">
        <f>SUM(D79*C95)/J58</f>
        <v>4892.4436050599961</v>
      </c>
      <c r="K95" s="234">
        <f>SUM(J95*J58)</f>
        <v>14677.330815179988</v>
      </c>
      <c r="L95" s="237">
        <f>SUM('FY19 Final'!I26)</f>
        <v>4887.1878591954019</v>
      </c>
      <c r="M95" s="234">
        <f>SUM('FY19 Final'!L27)</f>
        <v>14661.563577586207</v>
      </c>
      <c r="N95" s="199">
        <f>SUM(J95-L95)</f>
        <v>5.2557458645942461</v>
      </c>
      <c r="O95" s="224">
        <f t="shared" si="4"/>
        <v>1.0754131038170326E-3</v>
      </c>
      <c r="P95" s="164"/>
    </row>
    <row r="96" spans="1:23">
      <c r="A96" s="171"/>
      <c r="B96" s="170" t="s">
        <v>147</v>
      </c>
      <c r="C96" s="223">
        <v>0.5</v>
      </c>
      <c r="D96" s="304">
        <f>SUM(C79*C96)/(E58*0.001)</f>
        <v>17.054484117504469</v>
      </c>
      <c r="E96" s="234">
        <f>SUM(D96)*(E58*0.001)</f>
        <v>16845.430251192101</v>
      </c>
      <c r="F96" s="216">
        <f>SUM('FY19 Final'!D29)</f>
        <v>16.564659144523819</v>
      </c>
      <c r="G96" s="234">
        <f>SUM('FY19 Final'!G30)</f>
        <v>17411.908330447921</v>
      </c>
      <c r="H96" s="216">
        <f>SUM(D96-F96)</f>
        <v>0.48982497298064942</v>
      </c>
      <c r="I96" s="183">
        <f>SUM(H96/F96)</f>
        <v>2.9570483081300392E-2</v>
      </c>
      <c r="J96" s="305">
        <f>SUM(D79*C96)/(I58*0.001)</f>
        <v>14.859478300183639</v>
      </c>
      <c r="K96" s="234">
        <f>SUM(J96)*(I58*0.001)</f>
        <v>14677.330815179988</v>
      </c>
      <c r="L96" s="216">
        <f>SUM('FY19 Final'!I29)</f>
        <v>13.94814391273751</v>
      </c>
      <c r="M96" s="234">
        <f>SUM('FY19 Final'!L30)</f>
        <v>14661.563577586207</v>
      </c>
      <c r="N96" s="199">
        <f>SUM(J96-L96)</f>
        <v>0.9113343874461286</v>
      </c>
      <c r="O96" s="224">
        <f t="shared" si="4"/>
        <v>6.5337323241545689E-2</v>
      </c>
      <c r="P96" s="164"/>
    </row>
    <row r="97" spans="1:23" s="166" customFormat="1">
      <c r="A97" s="298"/>
      <c r="B97" s="299" t="s">
        <v>160</v>
      </c>
      <c r="C97" s="298"/>
      <c r="D97" s="298"/>
      <c r="E97" s="300">
        <f>SUM(E95:E96)</f>
        <v>33690.860502384203</v>
      </c>
      <c r="F97" s="298"/>
      <c r="G97" s="300">
        <f>SUM(G95:G96)</f>
        <v>34823.816660895842</v>
      </c>
      <c r="H97" s="298"/>
      <c r="I97" s="299"/>
      <c r="J97" s="301"/>
      <c r="K97" s="300">
        <f>SUM(K95:K96)</f>
        <v>29354.661630359977</v>
      </c>
      <c r="L97" s="298"/>
      <c r="M97" s="300">
        <f>SUM(M95:M96)</f>
        <v>29323.127155172413</v>
      </c>
      <c r="N97" s="299"/>
      <c r="O97" s="302"/>
      <c r="Q97" s="303"/>
      <c r="R97" s="303"/>
      <c r="S97" s="303"/>
      <c r="T97" s="303"/>
      <c r="U97" s="303"/>
      <c r="V97" s="303"/>
      <c r="W97" s="303"/>
    </row>
    <row r="98" spans="1:23">
      <c r="N98" s="165"/>
    </row>
    <row r="99" spans="1:23">
      <c r="E99" s="188"/>
    </row>
    <row r="100" spans="1:23" ht="23.25">
      <c r="A100" s="295" t="s">
        <v>168</v>
      </c>
    </row>
    <row r="101" spans="1:23" ht="23.25">
      <c r="A101" s="272"/>
    </row>
    <row r="102" spans="1:23">
      <c r="A102" s="180"/>
      <c r="B102" s="169"/>
      <c r="C102" s="169"/>
      <c r="D102" s="169"/>
      <c r="E102" s="169"/>
      <c r="F102" s="169"/>
      <c r="G102" s="168" t="s">
        <v>2</v>
      </c>
      <c r="H102" s="198" t="s">
        <v>26</v>
      </c>
    </row>
    <row r="103" spans="1:23">
      <c r="A103" s="171" t="s">
        <v>173</v>
      </c>
      <c r="B103" s="170"/>
      <c r="C103" s="170"/>
      <c r="D103" s="170"/>
      <c r="E103" s="170"/>
      <c r="F103" s="170"/>
      <c r="G103" s="233">
        <f>SUM(E87+E91+E95+E32+E38+E41+E43)</f>
        <v>162039.33356281256</v>
      </c>
      <c r="H103" s="234">
        <f>SUM(K87+K91+K95+K27+K32+(0.5*K39)+K41+K43)</f>
        <v>238158.45783861575</v>
      </c>
    </row>
    <row r="104" spans="1:23">
      <c r="A104" s="171" t="s">
        <v>171</v>
      </c>
      <c r="B104" s="170"/>
      <c r="C104" s="170"/>
      <c r="D104" s="170"/>
      <c r="E104" s="170"/>
      <c r="F104" s="170"/>
      <c r="G104" s="233">
        <f>SUM(E88+E92+E96+E37)</f>
        <v>195945.66643718746</v>
      </c>
      <c r="H104" s="234">
        <f>SUM(K88+K92+K96+K28+(0.5*K39))</f>
        <v>361993.54216138425</v>
      </c>
    </row>
    <row r="105" spans="1:23">
      <c r="A105" s="260" t="s">
        <v>142</v>
      </c>
      <c r="B105" s="232"/>
      <c r="C105" s="232"/>
      <c r="D105" s="232"/>
      <c r="E105" s="232"/>
      <c r="F105" s="232"/>
      <c r="G105" s="261">
        <f>SUM(G103:G104)</f>
        <v>357985</v>
      </c>
      <c r="H105" s="262">
        <f>SUM(H103:H104)</f>
        <v>600152</v>
      </c>
    </row>
    <row r="106" spans="1:23">
      <c r="A106" s="171"/>
      <c r="B106" s="170"/>
      <c r="C106" s="170"/>
      <c r="D106" s="170"/>
      <c r="E106" s="170"/>
      <c r="F106" s="170"/>
      <c r="G106" s="171"/>
      <c r="H106" s="181"/>
    </row>
    <row r="107" spans="1:23" ht="17.25" customHeight="1">
      <c r="A107" s="171" t="s">
        <v>169</v>
      </c>
      <c r="B107" s="170"/>
      <c r="C107" s="170"/>
      <c r="D107" s="170"/>
      <c r="E107" s="170"/>
      <c r="F107" s="170"/>
      <c r="G107" s="233">
        <v>193866</v>
      </c>
      <c r="H107" s="234">
        <v>171010</v>
      </c>
    </row>
    <row r="108" spans="1:23" ht="17.25" customHeight="1">
      <c r="A108" s="174" t="s">
        <v>170</v>
      </c>
      <c r="B108" s="186"/>
      <c r="C108" s="186"/>
      <c r="D108" s="186"/>
      <c r="E108" s="186"/>
      <c r="F108" s="186"/>
      <c r="G108" s="259">
        <f>SUM(G103-G107)/G107</f>
        <v>-0.16416837628664868</v>
      </c>
      <c r="H108" s="197">
        <f>SUM(H103-H107)/H107</f>
        <v>0.39265807753123066</v>
      </c>
    </row>
    <row r="111" spans="1:23" ht="23.25">
      <c r="A111" s="295" t="s">
        <v>174</v>
      </c>
    </row>
    <row r="112" spans="1:23">
      <c r="D112" s="334" t="s">
        <v>135</v>
      </c>
      <c r="E112" s="335"/>
      <c r="F112" s="336" t="s">
        <v>134</v>
      </c>
      <c r="G112" s="337"/>
    </row>
    <row r="113" spans="1:7" s="164" customFormat="1">
      <c r="D113" s="277" t="s">
        <v>2</v>
      </c>
      <c r="E113" s="278" t="s">
        <v>26</v>
      </c>
      <c r="F113" s="263" t="s">
        <v>2</v>
      </c>
      <c r="G113" s="184" t="s">
        <v>26</v>
      </c>
    </row>
    <row r="114" spans="1:7" s="164" customFormat="1">
      <c r="A114" s="168" t="s">
        <v>43</v>
      </c>
      <c r="B114" s="169"/>
      <c r="C114" s="169"/>
      <c r="D114" s="180"/>
      <c r="E114" s="266"/>
      <c r="F114" s="253"/>
      <c r="G114" s="177"/>
    </row>
    <row r="115" spans="1:7" s="164" customFormat="1">
      <c r="A115" s="171" t="s">
        <v>147</v>
      </c>
      <c r="B115" s="170"/>
      <c r="C115" s="170"/>
      <c r="D115" s="216">
        <f>SUM((E56/F56)/1000)*D88</f>
        <v>271.87248779851581</v>
      </c>
      <c r="E115" s="267">
        <f>SUM((I56/J56)/1000)*J88</f>
        <v>454.15205862546344</v>
      </c>
      <c r="F115" s="264">
        <f>SUM(('FY19 Final'!D14/'FY19 Final'!D11)/1000)*'FY19 Final'!D15</f>
        <v>274.09405016772047</v>
      </c>
      <c r="G115" s="200">
        <f>SUM(('FY19 Final'!I14/'FY19 Final'!I11)/1000)*'FY19 Final'!I15</f>
        <v>436.97518491588556</v>
      </c>
    </row>
    <row r="116" spans="1:7" s="164" customFormat="1">
      <c r="A116" s="171" t="s">
        <v>175</v>
      </c>
      <c r="B116" s="170"/>
      <c r="C116" s="170"/>
      <c r="D116" s="216">
        <f>SUM(D87)</f>
        <v>116.51678048507819</v>
      </c>
      <c r="E116" s="267">
        <f>SUM(J87)</f>
        <v>194.63659655377003</v>
      </c>
      <c r="F116" s="264">
        <f>SUM(F87)</f>
        <v>141.19996523791662</v>
      </c>
      <c r="G116" s="200">
        <f>SUM(L87)</f>
        <v>187.27507924966525</v>
      </c>
    </row>
    <row r="117" spans="1:7" s="164" customFormat="1">
      <c r="A117" s="171" t="s">
        <v>142</v>
      </c>
      <c r="B117" s="170"/>
      <c r="C117" s="170"/>
      <c r="D117" s="216">
        <f>SUM(D115:D116)</f>
        <v>388.38926828359399</v>
      </c>
      <c r="E117" s="267">
        <f>SUM(E115:E116)</f>
        <v>648.7886551792335</v>
      </c>
      <c r="F117" s="264">
        <f t="shared" ref="F117:G117" si="5">SUM(F115:F116)</f>
        <v>415.29401540563708</v>
      </c>
      <c r="G117" s="200">
        <f t="shared" si="5"/>
        <v>624.25026416555079</v>
      </c>
    </row>
    <row r="118" spans="1:7" s="164" customFormat="1">
      <c r="A118" s="260" t="s">
        <v>176</v>
      </c>
      <c r="B118" s="232"/>
      <c r="C118" s="232"/>
      <c r="D118" s="270">
        <f>SUM(D117:E117)</f>
        <v>1037.1779234628275</v>
      </c>
      <c r="E118" s="268"/>
      <c r="F118" s="264">
        <f>SUM(F117:G117)</f>
        <v>1039.5442795711879</v>
      </c>
      <c r="G118" s="200"/>
    </row>
    <row r="119" spans="1:7" s="164" customFormat="1">
      <c r="A119" s="260" t="s">
        <v>177</v>
      </c>
      <c r="B119" s="232"/>
      <c r="C119" s="232"/>
      <c r="D119" s="270">
        <f>SUM(D118-F118)</f>
        <v>-2.3663561083603781</v>
      </c>
      <c r="E119" s="268"/>
      <c r="F119" s="254"/>
      <c r="G119" s="181"/>
    </row>
    <row r="120" spans="1:7" s="164" customFormat="1">
      <c r="A120" s="229" t="s">
        <v>178</v>
      </c>
      <c r="B120" s="228"/>
      <c r="C120" s="228"/>
      <c r="D120" s="271">
        <f>SUM(D119/F118)</f>
        <v>-2.2763398874519327E-3</v>
      </c>
      <c r="E120" s="269"/>
      <c r="F120" s="265"/>
      <c r="G120" s="214"/>
    </row>
    <row r="121" spans="1:7" s="164" customFormat="1">
      <c r="D121" s="171"/>
      <c r="E121" s="268"/>
      <c r="F121" s="254"/>
      <c r="G121" s="170"/>
    </row>
    <row r="122" spans="1:7" s="164" customFormat="1">
      <c r="A122" s="168" t="s">
        <v>132</v>
      </c>
      <c r="B122" s="169"/>
      <c r="C122" s="169"/>
      <c r="D122" s="180"/>
      <c r="E122" s="266"/>
      <c r="F122" s="253"/>
      <c r="G122" s="177"/>
    </row>
    <row r="123" spans="1:7" s="164" customFormat="1">
      <c r="A123" s="171" t="s">
        <v>147</v>
      </c>
      <c r="B123" s="170"/>
      <c r="C123" s="170"/>
      <c r="D123" s="216">
        <f>SUM((E57/F57)/1000)*D92</f>
        <v>892.07512186130941</v>
      </c>
      <c r="E123" s="267">
        <f>SUM((I57/J57)/1000)*J92</f>
        <v>843.84133885489769</v>
      </c>
      <c r="F123" s="264">
        <f>SUM(('FY19 Final'!D21/'FY19 Final'!D18)/1000)*'FY19 Final'!D22</f>
        <v>712.55559955931881</v>
      </c>
      <c r="G123" s="200">
        <f>SUM(('FY19 Final'!I21/'FY19 Final'!I18)/1000)*'FY19 Final'!I22</f>
        <v>827.2336767831838</v>
      </c>
    </row>
    <row r="124" spans="1:7" s="164" customFormat="1">
      <c r="A124" s="171" t="s">
        <v>175</v>
      </c>
      <c r="B124" s="170"/>
      <c r="C124" s="170"/>
      <c r="D124" s="216">
        <f>SUM(D91)</f>
        <v>594.71674790753968</v>
      </c>
      <c r="E124" s="267">
        <f>SUM(J91)</f>
        <v>562.56089256993187</v>
      </c>
      <c r="F124" s="264">
        <f>SUM(F91)</f>
        <v>475.03706637287928</v>
      </c>
      <c r="G124" s="200">
        <f>SUM(L91)</f>
        <v>551.4891178554559</v>
      </c>
    </row>
    <row r="125" spans="1:7" s="164" customFormat="1">
      <c r="A125" s="171" t="s">
        <v>142</v>
      </c>
      <c r="B125" s="170"/>
      <c r="C125" s="170"/>
      <c r="D125" s="216">
        <f>SUM(D123:D124)</f>
        <v>1486.7918697688492</v>
      </c>
      <c r="E125" s="267">
        <f>SUM(E123:E124)</f>
        <v>1406.4022314248296</v>
      </c>
      <c r="F125" s="264">
        <f t="shared" ref="F125:G125" si="6">SUM(F123:F124)</f>
        <v>1187.5926659321981</v>
      </c>
      <c r="G125" s="200">
        <f t="shared" si="6"/>
        <v>1378.7227946386397</v>
      </c>
    </row>
    <row r="126" spans="1:7" s="164" customFormat="1">
      <c r="A126" s="260" t="s">
        <v>176</v>
      </c>
      <c r="B126" s="232"/>
      <c r="C126" s="232"/>
      <c r="D126" s="270">
        <f>SUM(D125:E125)</f>
        <v>2893.1941011936788</v>
      </c>
      <c r="E126" s="268"/>
      <c r="F126" s="264">
        <f>SUM(F125:G125)</f>
        <v>2566.3154605708378</v>
      </c>
      <c r="G126" s="200"/>
    </row>
    <row r="127" spans="1:7" s="164" customFormat="1">
      <c r="A127" s="260" t="s">
        <v>177</v>
      </c>
      <c r="B127" s="232"/>
      <c r="C127" s="232"/>
      <c r="D127" s="270">
        <f>SUM(D126-F126)</f>
        <v>326.87864062284098</v>
      </c>
      <c r="E127" s="268"/>
      <c r="F127" s="254"/>
      <c r="G127" s="181"/>
    </row>
    <row r="128" spans="1:7" s="164" customFormat="1">
      <c r="A128" s="229" t="s">
        <v>178</v>
      </c>
      <c r="B128" s="228"/>
      <c r="C128" s="228"/>
      <c r="D128" s="271">
        <f>SUM(D127/F126)</f>
        <v>0.12737274339224525</v>
      </c>
      <c r="E128" s="269"/>
      <c r="F128" s="265"/>
      <c r="G128" s="214"/>
    </row>
    <row r="129" spans="1:7" s="164" customFormat="1">
      <c r="D129" s="171"/>
      <c r="E129" s="268"/>
      <c r="F129" s="254"/>
      <c r="G129" s="170"/>
    </row>
    <row r="130" spans="1:7" s="164" customFormat="1">
      <c r="A130" s="168" t="s">
        <v>133</v>
      </c>
      <c r="B130" s="169"/>
      <c r="C130" s="169"/>
      <c r="D130" s="180"/>
      <c r="E130" s="266"/>
      <c r="F130" s="253"/>
      <c r="G130" s="177"/>
    </row>
    <row r="131" spans="1:7" s="164" customFormat="1">
      <c r="A131" s="171" t="s">
        <v>147</v>
      </c>
      <c r="B131" s="170"/>
      <c r="C131" s="170"/>
      <c r="D131" s="216">
        <f>SUM((E58/F58)/1000)*D96</f>
        <v>5615.1434170640323</v>
      </c>
      <c r="E131" s="267">
        <f>SUM((I58/J58)/1000)*J96</f>
        <v>4892.4436050599952</v>
      </c>
      <c r="F131" s="264">
        <f>SUM(('FY19 Final'!D28/'FY19 Final'!D25)/1000)*'FY19 Final'!D29</f>
        <v>5803.9694434826415</v>
      </c>
      <c r="G131" s="200">
        <f>SUM(('FY19 Final'!I28/'FY19 Final'!I25)/1000)*'FY19 Final'!I29</f>
        <v>4887.1878591954037</v>
      </c>
    </row>
    <row r="132" spans="1:7" s="164" customFormat="1">
      <c r="A132" s="171" t="s">
        <v>175</v>
      </c>
      <c r="B132" s="170"/>
      <c r="C132" s="170"/>
      <c r="D132" s="216">
        <f>SUM(D95)</f>
        <v>5615.1434170640341</v>
      </c>
      <c r="E132" s="267">
        <f>SUM(J95)</f>
        <v>4892.4436050599961</v>
      </c>
      <c r="F132" s="264">
        <f>SUM(F95)</f>
        <v>5803.9694434826406</v>
      </c>
      <c r="G132" s="200">
        <f>SUM(L95)</f>
        <v>4887.1878591954019</v>
      </c>
    </row>
    <row r="133" spans="1:7" s="164" customFormat="1">
      <c r="A133" s="171" t="s">
        <v>142</v>
      </c>
      <c r="B133" s="170"/>
      <c r="C133" s="170"/>
      <c r="D133" s="216">
        <f>SUM(D131:D132)</f>
        <v>11230.286834128066</v>
      </c>
      <c r="E133" s="267">
        <f>SUM(E131:E132)</f>
        <v>9784.8872101199922</v>
      </c>
      <c r="F133" s="264">
        <f t="shared" ref="F133:G133" si="7">SUM(F131:F132)</f>
        <v>11607.938886965283</v>
      </c>
      <c r="G133" s="200">
        <f t="shared" si="7"/>
        <v>9774.3757183908056</v>
      </c>
    </row>
    <row r="134" spans="1:7" s="164" customFormat="1">
      <c r="A134" s="260" t="s">
        <v>176</v>
      </c>
      <c r="B134" s="232"/>
      <c r="C134" s="232"/>
      <c r="D134" s="270">
        <f>SUM(D133:E133)</f>
        <v>21015.174044248059</v>
      </c>
      <c r="E134" s="268"/>
      <c r="F134" s="264">
        <f>SUM(F133:G133)</f>
        <v>21382.314605356089</v>
      </c>
      <c r="G134" s="200"/>
    </row>
    <row r="135" spans="1:7" s="164" customFormat="1">
      <c r="A135" s="260" t="s">
        <v>177</v>
      </c>
      <c r="B135" s="232"/>
      <c r="C135" s="232"/>
      <c r="D135" s="270">
        <f>SUM(D134-F134)</f>
        <v>-367.14056110802994</v>
      </c>
      <c r="E135" s="268"/>
      <c r="F135" s="254"/>
      <c r="G135" s="181"/>
    </row>
    <row r="136" spans="1:7" s="164" customFormat="1">
      <c r="A136" s="229" t="s">
        <v>178</v>
      </c>
      <c r="B136" s="228"/>
      <c r="C136" s="228"/>
      <c r="D136" s="271">
        <f>SUM(D135/F134)</f>
        <v>-1.7170290863462664E-2</v>
      </c>
      <c r="E136" s="269"/>
      <c r="F136" s="265"/>
      <c r="G136" s="214"/>
    </row>
  </sheetData>
  <mergeCells count="36">
    <mergeCell ref="D112:E112"/>
    <mergeCell ref="F112:G112"/>
    <mergeCell ref="D34:I34"/>
    <mergeCell ref="J34:O34"/>
    <mergeCell ref="D35:E35"/>
    <mergeCell ref="F35:G35"/>
    <mergeCell ref="J35:K35"/>
    <mergeCell ref="L35:M35"/>
    <mergeCell ref="N84:O84"/>
    <mergeCell ref="C65:F65"/>
    <mergeCell ref="A67:C67"/>
    <mergeCell ref="C73:D73"/>
    <mergeCell ref="E73:F73"/>
    <mergeCell ref="D83:I83"/>
    <mergeCell ref="J83:O83"/>
    <mergeCell ref="D84:E84"/>
    <mergeCell ref="F84:G84"/>
    <mergeCell ref="H84:I84"/>
    <mergeCell ref="J84:K84"/>
    <mergeCell ref="L84:M84"/>
    <mergeCell ref="K67:L67"/>
    <mergeCell ref="G53:J53"/>
    <mergeCell ref="C54:D54"/>
    <mergeCell ref="A75:B76"/>
    <mergeCell ref="A57:B57"/>
    <mergeCell ref="A9:B9"/>
    <mergeCell ref="A10:B10"/>
    <mergeCell ref="C53:F53"/>
    <mergeCell ref="D23:I23"/>
    <mergeCell ref="J23:O23"/>
    <mergeCell ref="D24:E24"/>
    <mergeCell ref="F24:G24"/>
    <mergeCell ref="H24:I24"/>
    <mergeCell ref="J24:K24"/>
    <mergeCell ref="L24:M24"/>
    <mergeCell ref="N24:O24"/>
  </mergeCells>
  <pageMargins left="0.7" right="0.7" top="0.75" bottom="0.75" header="0.3" footer="0.3"/>
  <pageSetup scale="59" orientation="landscape" r:id="rId1"/>
  <rowBreaks count="2" manualBreakCount="2">
    <brk id="49" max="16383" man="1"/>
    <brk id="9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view="pageBreakPreview" zoomScale="60" zoomScaleNormal="100" workbookViewId="0"/>
  </sheetViews>
  <sheetFormatPr defaultRowHeight="14.25"/>
  <cols>
    <col min="1" max="1" width="30.875" customWidth="1"/>
    <col min="2" max="2" width="34.875" customWidth="1"/>
    <col min="3" max="3" width="9.25" customWidth="1"/>
    <col min="4" max="4" width="13.375" customWidth="1"/>
    <col min="5" max="5" width="11.25" customWidth="1"/>
    <col min="6" max="6" width="7.125" customWidth="1"/>
    <col min="7" max="7" width="13.375" customWidth="1"/>
    <col min="8" max="8" width="9.875" customWidth="1"/>
    <col min="9" max="9" width="11.75" customWidth="1"/>
    <col min="10" max="10" width="11.125" customWidth="1"/>
    <col min="11" max="11" width="7.875" customWidth="1"/>
    <col min="12" max="12" width="12" customWidth="1"/>
    <col min="13" max="13" width="1.25" customWidth="1"/>
    <col min="14" max="14" width="9.625" style="44" customWidth="1"/>
    <col min="15" max="15" width="10.375" style="44" customWidth="1"/>
  </cols>
  <sheetData>
    <row r="1" spans="1:15" ht="34.5" thickBot="1">
      <c r="A1" s="333" t="s">
        <v>210</v>
      </c>
    </row>
    <row r="2" spans="1:15">
      <c r="B2" t="s">
        <v>46</v>
      </c>
      <c r="F2" s="49" t="s">
        <v>52</v>
      </c>
      <c r="G2" s="50"/>
      <c r="H2" s="96">
        <v>0.98</v>
      </c>
      <c r="I2" s="97" t="s">
        <v>55</v>
      </c>
      <c r="J2" s="98"/>
      <c r="K2" s="49"/>
      <c r="L2" s="149" t="s">
        <v>69</v>
      </c>
      <c r="M2" s="149"/>
      <c r="N2" s="149" t="s">
        <v>67</v>
      </c>
      <c r="O2" s="156" t="s">
        <v>70</v>
      </c>
    </row>
    <row r="3" spans="1:15" ht="20.25">
      <c r="A3" s="161" t="s">
        <v>85</v>
      </c>
      <c r="B3" s="36" t="s">
        <v>45</v>
      </c>
      <c r="F3" s="51"/>
      <c r="G3" s="357" t="s">
        <v>69</v>
      </c>
      <c r="H3" s="357"/>
      <c r="I3" s="357" t="s">
        <v>67</v>
      </c>
      <c r="J3" s="358"/>
      <c r="K3" s="150" t="s">
        <v>86</v>
      </c>
      <c r="L3" s="151">
        <v>327104</v>
      </c>
      <c r="M3" s="151"/>
      <c r="N3" s="151">
        <v>583270</v>
      </c>
      <c r="O3" s="152">
        <f>L3+N3</f>
        <v>910374</v>
      </c>
    </row>
    <row r="4" spans="1:15" ht="20.25">
      <c r="A4" s="161" t="s">
        <v>87</v>
      </c>
      <c r="B4" s="33" t="s">
        <v>88</v>
      </c>
      <c r="F4" s="51" t="s">
        <v>39</v>
      </c>
      <c r="G4" s="89">
        <v>9483200</v>
      </c>
      <c r="H4" s="90">
        <f>G4/G$7</f>
        <v>0.59700966350845164</v>
      </c>
      <c r="I4" s="91">
        <v>9407700</v>
      </c>
      <c r="J4" s="92">
        <f>I4/I$7</f>
        <v>0.66258874239350918</v>
      </c>
      <c r="K4" s="150" t="s">
        <v>82</v>
      </c>
      <c r="L4" s="151">
        <v>345137</v>
      </c>
      <c r="M4" s="151"/>
      <c r="N4" s="151">
        <v>562000</v>
      </c>
      <c r="O4" s="152">
        <f t="shared" ref="O4:O5" si="0">L4+N4</f>
        <v>907137</v>
      </c>
    </row>
    <row r="5" spans="1:15">
      <c r="A5" s="36"/>
      <c r="B5" s="36" t="s">
        <v>0</v>
      </c>
      <c r="F5" s="51" t="s">
        <v>53</v>
      </c>
      <c r="G5" s="89">
        <v>5328700</v>
      </c>
      <c r="H5" s="159">
        <f>G5/G$7</f>
        <v>0.33546539078976362</v>
      </c>
      <c r="I5" s="137">
        <v>3718100</v>
      </c>
      <c r="J5" s="160">
        <f>I5/I$7</f>
        <v>0.26186753437006988</v>
      </c>
      <c r="K5" s="150" t="s">
        <v>78</v>
      </c>
      <c r="L5" s="151">
        <f>L4-L3</f>
        <v>18033</v>
      </c>
      <c r="M5" s="151"/>
      <c r="N5" s="151">
        <f>N4-N3</f>
        <v>-21270</v>
      </c>
      <c r="O5" s="152">
        <f t="shared" si="0"/>
        <v>-3237</v>
      </c>
    </row>
    <row r="6" spans="1:15">
      <c r="A6" s="36"/>
      <c r="B6" s="36"/>
      <c r="F6" s="51" t="s">
        <v>40</v>
      </c>
      <c r="G6" s="89">
        <v>1072600</v>
      </c>
      <c r="H6" s="90">
        <f>G6/G$7</f>
        <v>6.7524945701784758E-2</v>
      </c>
      <c r="I6" s="91">
        <v>1072600</v>
      </c>
      <c r="J6" s="92">
        <f>I6/I$7</f>
        <v>7.5543723236421001E-2</v>
      </c>
      <c r="K6" s="150" t="s">
        <v>79</v>
      </c>
      <c r="L6" s="90">
        <f>L5/L3</f>
        <v>5.5129255527294072E-2</v>
      </c>
      <c r="M6" s="16"/>
      <c r="N6" s="90">
        <f>N5/N3</f>
        <v>-3.6466816397208841E-2</v>
      </c>
      <c r="O6" s="92">
        <f>O5/O3</f>
        <v>-3.555681511115212E-3</v>
      </c>
    </row>
    <row r="7" spans="1:15" ht="15" thickBot="1">
      <c r="F7" s="53" t="s">
        <v>41</v>
      </c>
      <c r="G7" s="93">
        <f>SUM(G4:G6)</f>
        <v>15884500</v>
      </c>
      <c r="H7" s="94">
        <f>SUM(H4:H6)</f>
        <v>1</v>
      </c>
      <c r="I7" s="93">
        <f>SUM(I4:I6)</f>
        <v>14198400</v>
      </c>
      <c r="J7" s="95">
        <f>I7/I$7</f>
        <v>1</v>
      </c>
      <c r="K7" s="53"/>
      <c r="L7" s="153"/>
      <c r="M7" s="153"/>
      <c r="N7" s="154"/>
      <c r="O7" s="155"/>
    </row>
    <row r="8" spans="1:15">
      <c r="C8" s="76">
        <f>C11+C18+C25</f>
        <v>1</v>
      </c>
      <c r="G8" s="163"/>
      <c r="H8" s="163"/>
      <c r="I8" s="52"/>
      <c r="J8" s="163"/>
      <c r="K8" s="52"/>
    </row>
    <row r="9" spans="1:15" ht="15">
      <c r="A9" s="23"/>
      <c r="B9" s="8"/>
      <c r="C9" s="77" t="s">
        <v>1</v>
      </c>
      <c r="D9" s="78" t="s">
        <v>2</v>
      </c>
      <c r="E9" s="77"/>
      <c r="F9" s="77"/>
      <c r="G9" s="79"/>
      <c r="H9" s="80" t="s">
        <v>1</v>
      </c>
      <c r="I9" s="81" t="s">
        <v>3</v>
      </c>
      <c r="J9" s="5"/>
      <c r="K9" s="5"/>
      <c r="L9" s="79"/>
      <c r="M9" s="17"/>
      <c r="O9" s="44" t="s">
        <v>37</v>
      </c>
    </row>
    <row r="10" spans="1:15" ht="15">
      <c r="A10" s="18"/>
      <c r="B10" s="4"/>
      <c r="C10" s="71" t="s">
        <v>4</v>
      </c>
      <c r="D10" s="83">
        <v>345137</v>
      </c>
      <c r="E10" s="84" t="s">
        <v>83</v>
      </c>
      <c r="F10" s="85"/>
      <c r="G10" s="15"/>
      <c r="H10" s="86" t="s">
        <v>4</v>
      </c>
      <c r="I10" s="87">
        <v>562000</v>
      </c>
      <c r="J10" s="84" t="s">
        <v>83</v>
      </c>
      <c r="K10" s="1"/>
      <c r="L10" s="15"/>
      <c r="M10" s="10"/>
      <c r="N10" s="123"/>
    </row>
    <row r="11" spans="1:15" ht="15">
      <c r="A11" s="31" t="s">
        <v>43</v>
      </c>
      <c r="B11" s="82" t="s">
        <v>75</v>
      </c>
      <c r="C11" s="134">
        <f>H4-0.02</f>
        <v>0.57700966350845162</v>
      </c>
      <c r="D11" s="32">
        <v>415</v>
      </c>
      <c r="E11" s="20" t="s">
        <v>5</v>
      </c>
      <c r="F11" s="163"/>
      <c r="G11" s="2"/>
      <c r="H11" s="136">
        <f>J4</f>
        <v>0.66258874239350918</v>
      </c>
      <c r="I11" s="33">
        <v>412</v>
      </c>
      <c r="J11" t="s">
        <v>5</v>
      </c>
      <c r="L11" s="2"/>
      <c r="M11" s="163"/>
    </row>
    <row r="12" spans="1:15" ht="15">
      <c r="A12" t="s">
        <v>6</v>
      </c>
      <c r="B12" s="2"/>
      <c r="C12" s="129" t="s">
        <v>89</v>
      </c>
      <c r="D12" s="21">
        <f>(C13*0.34)/D11</f>
        <v>141.19996523791662</v>
      </c>
      <c r="E12" s="10"/>
      <c r="F12" s="163"/>
      <c r="G12" s="3"/>
      <c r="H12" s="129" t="s">
        <v>90</v>
      </c>
      <c r="I12" s="21">
        <f>(H13*0.3)/I11</f>
        <v>187.27507924966525</v>
      </c>
      <c r="L12" s="3"/>
      <c r="M12" s="10"/>
      <c r="N12" s="121"/>
      <c r="O12" s="121"/>
    </row>
    <row r="13" spans="1:15">
      <c r="A13" s="19" t="s">
        <v>38</v>
      </c>
      <c r="B13" s="2" t="s">
        <v>49</v>
      </c>
      <c r="C13" s="39">
        <f>C11*(D$10--G42-G46-G48-G52-G56)</f>
        <v>172347.01639333941</v>
      </c>
      <c r="D13" s="55" t="s">
        <v>91</v>
      </c>
      <c r="E13" s="163"/>
      <c r="F13" s="163"/>
      <c r="G13" s="3">
        <f>D11*D12</f>
        <v>58597.985573735394</v>
      </c>
      <c r="H13" s="39">
        <f>H11*(I10-L37-L42-L50-L52)</f>
        <v>257191.10883620693</v>
      </c>
      <c r="I13" s="55" t="s">
        <v>92</v>
      </c>
      <c r="L13" s="3">
        <f>+I12*I11</f>
        <v>77157.332650862081</v>
      </c>
      <c r="M13" s="10"/>
      <c r="N13" s="121"/>
      <c r="O13" s="121"/>
    </row>
    <row r="14" spans="1:15">
      <c r="A14" t="s">
        <v>8</v>
      </c>
      <c r="B14" s="2" t="s">
        <v>50</v>
      </c>
      <c r="C14" s="68" t="s">
        <v>93</v>
      </c>
      <c r="D14" s="56">
        <f>G4*H2</f>
        <v>9293536</v>
      </c>
      <c r="E14" s="163" t="s">
        <v>54</v>
      </c>
      <c r="F14" s="163"/>
      <c r="G14" s="2"/>
      <c r="H14" s="68" t="s">
        <v>94</v>
      </c>
      <c r="I14" s="59">
        <f>I4*H2</f>
        <v>9219546</v>
      </c>
      <c r="J14" t="s">
        <v>54</v>
      </c>
      <c r="L14" s="2"/>
      <c r="M14" s="163"/>
      <c r="N14" s="121"/>
      <c r="O14" s="121"/>
    </row>
    <row r="15" spans="1:15" ht="15">
      <c r="B15" s="2" t="s">
        <v>9</v>
      </c>
      <c r="C15" s="44"/>
      <c r="D15" s="57">
        <f>(C13*0.66)/(D14/1000)</f>
        <v>12.239585752893625</v>
      </c>
      <c r="E15" s="41" t="s">
        <v>95</v>
      </c>
      <c r="F15" s="163"/>
      <c r="G15" s="2"/>
      <c r="H15" s="72"/>
      <c r="I15" s="57">
        <f>(H13*0.7)/(I14*0.001)</f>
        <v>19.527401477832512</v>
      </c>
      <c r="J15" s="41" t="s">
        <v>96</v>
      </c>
      <c r="L15" s="2"/>
      <c r="M15" s="163"/>
      <c r="N15" s="121"/>
      <c r="O15" s="121"/>
    </row>
    <row r="16" spans="1:15">
      <c r="B16" s="2" t="s">
        <v>10</v>
      </c>
      <c r="C16" s="44"/>
      <c r="D16" s="55" t="s">
        <v>97</v>
      </c>
      <c r="E16" s="163"/>
      <c r="F16" s="163"/>
      <c r="G16" s="3">
        <f>(D14/1000)*D15</f>
        <v>113749.03081960401</v>
      </c>
      <c r="H16" s="72"/>
      <c r="I16" s="54" t="s">
        <v>98</v>
      </c>
      <c r="L16" s="3">
        <f>+I14*0.001*I15</f>
        <v>180033.77618534485</v>
      </c>
      <c r="M16" s="10"/>
      <c r="N16" s="121"/>
      <c r="O16" s="121"/>
    </row>
    <row r="17" spans="1:15">
      <c r="B17" s="2"/>
      <c r="C17" s="69"/>
      <c r="D17" s="114">
        <f>E17/D11</f>
        <v>-21.573454473880947</v>
      </c>
      <c r="E17" s="106">
        <f>G17-'[1]2016-2017'!G15</f>
        <v>-8952.9836066605931</v>
      </c>
      <c r="F17" s="99">
        <f>(G17-'[1]2016-2017'!G15)/'[1]2016-2017'!G15</f>
        <v>-4.9382148961172601E-2</v>
      </c>
      <c r="G17" s="11">
        <f>+SUM(G13,G16)</f>
        <v>172347.01639333941</v>
      </c>
      <c r="H17" s="69"/>
      <c r="I17" s="112">
        <f>J17/I11</f>
        <v>50.332788437395529</v>
      </c>
      <c r="J17" s="105">
        <f>L17-'[1]2016-2017'!L15</f>
        <v>20737.108836206957</v>
      </c>
      <c r="K17" s="100">
        <f>(L17-'[1]2016-2017'!L15)/'[1]2016-2017'!L15</f>
        <v>8.7700393464297324E-2</v>
      </c>
      <c r="L17" s="11">
        <f>+SUM(L13,L16)</f>
        <v>257191.10883620693</v>
      </c>
      <c r="M17" s="10"/>
      <c r="N17" s="122"/>
      <c r="O17" s="122"/>
    </row>
    <row r="18" spans="1:15" ht="15">
      <c r="A18" s="45" t="s">
        <v>42</v>
      </c>
      <c r="B18" s="75" t="s">
        <v>76</v>
      </c>
      <c r="C18" s="135">
        <f>H5-0.03</f>
        <v>0.30546539078976365</v>
      </c>
      <c r="D18" s="64">
        <v>75</v>
      </c>
      <c r="E18" s="7" t="s">
        <v>5</v>
      </c>
      <c r="F18" s="5"/>
      <c r="G18" s="8"/>
      <c r="H18" s="128">
        <f>J5</f>
        <v>0.26186753437006988</v>
      </c>
      <c r="I18" s="58">
        <v>73</v>
      </c>
      <c r="J18" s="5" t="s">
        <v>5</v>
      </c>
      <c r="K18" s="5"/>
      <c r="L18" s="8"/>
      <c r="M18" s="163"/>
      <c r="N18" s="122"/>
      <c r="O18" s="122"/>
    </row>
    <row r="19" spans="1:15" ht="15">
      <c r="A19" t="s">
        <v>6</v>
      </c>
      <c r="B19" s="2"/>
      <c r="C19" s="129" t="s">
        <v>99</v>
      </c>
      <c r="D19" s="57">
        <f>(C20*0.4)/D18</f>
        <v>475.03706637287928</v>
      </c>
      <c r="E19" s="163"/>
      <c r="F19" s="163"/>
      <c r="G19" s="3"/>
      <c r="H19" s="129" t="s">
        <v>100</v>
      </c>
      <c r="I19" s="57">
        <f>(H20*0.4)/I18</f>
        <v>551.4891178554559</v>
      </c>
      <c r="L19" s="3"/>
      <c r="M19" s="10"/>
      <c r="N19" s="122"/>
      <c r="O19" s="122"/>
    </row>
    <row r="20" spans="1:15">
      <c r="A20" s="163" t="s">
        <v>38</v>
      </c>
      <c r="B20" s="2" t="s">
        <v>47</v>
      </c>
      <c r="C20" s="39">
        <f>C18*(D$10-G42-G46-G48-G52-G56)-1443</f>
        <v>89069.449944914872</v>
      </c>
      <c r="D20" s="55" t="s">
        <v>101</v>
      </c>
      <c r="E20" s="163"/>
      <c r="F20" s="163"/>
      <c r="G20" s="3">
        <f>D18*D19</f>
        <v>35627.779977965947</v>
      </c>
      <c r="H20" s="39">
        <f>(H18*(I10-L37-L42-L50-L52))-1000</f>
        <v>100646.7640086207</v>
      </c>
      <c r="I20" s="55" t="s">
        <v>102</v>
      </c>
      <c r="L20" s="3">
        <f>+I19*I18</f>
        <v>40258.705603448281</v>
      </c>
      <c r="M20" s="10"/>
      <c r="N20" s="122"/>
      <c r="O20" s="122"/>
    </row>
    <row r="21" spans="1:15">
      <c r="A21" t="s">
        <v>18</v>
      </c>
      <c r="B21" s="2" t="s">
        <v>48</v>
      </c>
      <c r="C21" s="68" t="s">
        <v>103</v>
      </c>
      <c r="D21" s="56">
        <f>G5*H2</f>
        <v>5222126</v>
      </c>
      <c r="E21" s="163" t="s">
        <v>54</v>
      </c>
      <c r="F21" s="163"/>
      <c r="G21" s="2"/>
      <c r="H21" s="68" t="s">
        <v>104</v>
      </c>
      <c r="I21" s="130">
        <f>I5*H2</f>
        <v>3643738</v>
      </c>
      <c r="J21" s="131" t="s">
        <v>54</v>
      </c>
      <c r="L21" s="2"/>
      <c r="M21" s="163"/>
      <c r="N21" s="122"/>
      <c r="O21" s="122"/>
    </row>
    <row r="22" spans="1:15" ht="15">
      <c r="B22" s="2" t="s">
        <v>9</v>
      </c>
      <c r="C22" s="44" t="s">
        <v>37</v>
      </c>
      <c r="D22" s="57">
        <f>(C20*0.6)/(D21/1000)</f>
        <v>10.23369983162967</v>
      </c>
      <c r="E22" s="41" t="s">
        <v>105</v>
      </c>
      <c r="F22" s="163"/>
      <c r="G22" s="2"/>
      <c r="H22" s="72"/>
      <c r="I22" s="132">
        <f>(H20*0.6)/(I21*0.001)</f>
        <v>16.573106629832445</v>
      </c>
      <c r="J22" s="133" t="s">
        <v>106</v>
      </c>
      <c r="L22" s="2"/>
      <c r="M22" s="163"/>
      <c r="N22" s="122"/>
      <c r="O22" s="122"/>
    </row>
    <row r="23" spans="1:15">
      <c r="B23" s="2" t="s">
        <v>11</v>
      </c>
      <c r="C23" s="44"/>
      <c r="D23" s="55" t="s">
        <v>107</v>
      </c>
      <c r="E23" s="163"/>
      <c r="F23" s="163"/>
      <c r="G23" s="3">
        <f>(D21/1000)*D22</f>
        <v>53441.669966948924</v>
      </c>
      <c r="H23" s="72"/>
      <c r="I23" s="54" t="s">
        <v>108</v>
      </c>
      <c r="L23" s="3">
        <f>+I21*0.001*I22</f>
        <v>60388.058405172414</v>
      </c>
      <c r="M23" s="10"/>
      <c r="N23" s="122"/>
      <c r="O23" s="122"/>
    </row>
    <row r="24" spans="1:15">
      <c r="B24" s="2"/>
      <c r="C24" s="69"/>
      <c r="D24" s="112">
        <f>E24/D18</f>
        <v>139.27266593219829</v>
      </c>
      <c r="E24" s="107">
        <f>G24-'[1]2016-2017'!G22</f>
        <v>10445.449944914872</v>
      </c>
      <c r="F24" s="102">
        <f>(G24-'[1]2016-2017'!G22)/'[1]2016-2017'!G22</f>
        <v>0.13285319934008535</v>
      </c>
      <c r="G24" s="11">
        <f>+SUM(G20,G23)</f>
        <v>89069.449944914872</v>
      </c>
      <c r="H24" s="73"/>
      <c r="I24" s="113">
        <f>J24/I18</f>
        <v>-34.318301251771295</v>
      </c>
      <c r="J24" s="109">
        <f>L24-'[1]2016-2017'!L22</f>
        <v>-2505.2359913793043</v>
      </c>
      <c r="K24" s="101">
        <f>(L24-'[1]2016-2017'!L22)/'[1]2016-2017'!L22</f>
        <v>-2.4286838756197693E-2</v>
      </c>
      <c r="L24" s="11">
        <f>+SUM(L20,L23)</f>
        <v>100646.7640086207</v>
      </c>
      <c r="M24" s="10"/>
      <c r="N24" s="122"/>
      <c r="O24" s="122"/>
    </row>
    <row r="25" spans="1:15" ht="15">
      <c r="A25" s="45" t="s">
        <v>44</v>
      </c>
      <c r="B25" s="75" t="s">
        <v>71</v>
      </c>
      <c r="C25" s="135">
        <f>H6+0.05</f>
        <v>0.11752494570178476</v>
      </c>
      <c r="D25" s="65">
        <v>3</v>
      </c>
      <c r="E25" s="7" t="s">
        <v>5</v>
      </c>
      <c r="F25" s="5"/>
      <c r="G25" s="8"/>
      <c r="H25" s="128">
        <f>J6</f>
        <v>7.5543723236421001E-2</v>
      </c>
      <c r="I25" s="61">
        <v>3</v>
      </c>
      <c r="J25" s="5" t="s">
        <v>5</v>
      </c>
      <c r="K25" s="5"/>
      <c r="L25" s="8"/>
      <c r="M25" s="163"/>
      <c r="N25" s="122"/>
      <c r="O25" s="122"/>
    </row>
    <row r="26" spans="1:15" ht="15">
      <c r="A26" s="163" t="s">
        <v>6</v>
      </c>
      <c r="B26" s="2" t="s">
        <v>51</v>
      </c>
      <c r="C26" s="129" t="s">
        <v>109</v>
      </c>
      <c r="D26" s="57">
        <f>(C27*0.5)/D25</f>
        <v>5803.9694434826406</v>
      </c>
      <c r="E26" s="163"/>
      <c r="F26" s="163"/>
      <c r="G26" s="3"/>
      <c r="H26" s="129" t="s">
        <v>110</v>
      </c>
      <c r="I26" s="57">
        <f>(H27*0.5)/I25</f>
        <v>4887.1878591954019</v>
      </c>
      <c r="J26" s="163"/>
      <c r="K26" s="163"/>
      <c r="L26" s="3"/>
      <c r="M26" s="10"/>
      <c r="N26" s="122"/>
      <c r="O26" s="122"/>
    </row>
    <row r="27" spans="1:15">
      <c r="A27" s="163" t="s">
        <v>38</v>
      </c>
      <c r="B27" s="2" t="s">
        <v>51</v>
      </c>
      <c r="C27" s="39">
        <f>(C25*(D$10-G42-G46-G48-G52-G56))</f>
        <v>34823.816660895842</v>
      </c>
      <c r="D27" s="55" t="s">
        <v>111</v>
      </c>
      <c r="E27" s="163"/>
      <c r="F27" s="163"/>
      <c r="G27" s="3">
        <f>+D26*D25</f>
        <v>17411.908330447921</v>
      </c>
      <c r="H27" s="40">
        <f>H25*(I10-L37-L42-L50-L52)</f>
        <v>29323.127155172413</v>
      </c>
      <c r="I27" s="55" t="s">
        <v>112</v>
      </c>
      <c r="J27" s="163"/>
      <c r="K27" s="163"/>
      <c r="L27" s="3">
        <f>+I26*I25</f>
        <v>14661.563577586207</v>
      </c>
      <c r="M27" s="10"/>
      <c r="N27" s="122"/>
      <c r="O27" s="122"/>
    </row>
    <row r="28" spans="1:15">
      <c r="A28" t="s">
        <v>12</v>
      </c>
      <c r="B28" s="2"/>
      <c r="C28" s="68" t="s">
        <v>113</v>
      </c>
      <c r="D28" s="56">
        <f>G6*H2</f>
        <v>1051148</v>
      </c>
      <c r="E28" s="163" t="s">
        <v>54</v>
      </c>
      <c r="F28" s="163"/>
      <c r="G28" s="2"/>
      <c r="H28" s="68" t="s">
        <v>114</v>
      </c>
      <c r="I28" s="62">
        <f>I6*H2</f>
        <v>1051148</v>
      </c>
      <c r="J28" s="163" t="s">
        <v>54</v>
      </c>
      <c r="K28" s="163"/>
      <c r="L28" s="2"/>
      <c r="M28" s="163"/>
      <c r="N28" s="122"/>
      <c r="O28" s="122"/>
    </row>
    <row r="29" spans="1:15" ht="15">
      <c r="B29" s="2" t="s">
        <v>9</v>
      </c>
      <c r="C29" s="16"/>
      <c r="D29" s="57">
        <f>(C27*0.5)/(D28/1000)</f>
        <v>16.564659144523819</v>
      </c>
      <c r="E29" s="41" t="s">
        <v>115</v>
      </c>
      <c r="F29" s="163"/>
      <c r="G29" s="2"/>
      <c r="H29" s="72"/>
      <c r="I29" s="57">
        <f>(H27*0.5)/(I28*0.001)</f>
        <v>13.94814391273751</v>
      </c>
      <c r="J29" s="41" t="s">
        <v>115</v>
      </c>
      <c r="K29" s="163"/>
      <c r="L29" s="2"/>
      <c r="M29" s="163"/>
      <c r="N29" s="122"/>
      <c r="O29" s="122"/>
    </row>
    <row r="30" spans="1:15">
      <c r="B30" s="2" t="s">
        <v>13</v>
      </c>
      <c r="C30" s="71"/>
      <c r="D30" s="55" t="s">
        <v>116</v>
      </c>
      <c r="E30" s="1"/>
      <c r="F30" s="1"/>
      <c r="G30" s="15">
        <f>+D28*0.001*D29</f>
        <v>17411.908330447921</v>
      </c>
      <c r="H30" s="74"/>
      <c r="I30" s="54" t="s">
        <v>117</v>
      </c>
      <c r="J30" s="1"/>
      <c r="K30" s="1"/>
      <c r="L30" s="15">
        <f>+I28*0.001*I29</f>
        <v>14661.563577586207</v>
      </c>
      <c r="M30" s="10"/>
      <c r="N30" s="122"/>
      <c r="O30" s="122"/>
    </row>
    <row r="31" spans="1:15">
      <c r="B31" s="2"/>
      <c r="C31" s="22"/>
      <c r="D31" s="113">
        <f>E31/D25</f>
        <v>1903.272220298614</v>
      </c>
      <c r="E31" s="108">
        <f>G31-'[1]2016-2017'!G29</f>
        <v>5709.8166608958418</v>
      </c>
      <c r="F31" s="103">
        <f>(G31-'[1]2016-2017'!G29)/'[1]2016-2017'!G29</f>
        <v>0.19611927804134924</v>
      </c>
      <c r="G31" s="11">
        <f>+SUM(G27,G30)</f>
        <v>34823.816660895842</v>
      </c>
      <c r="H31" s="2"/>
      <c r="I31" s="115">
        <f>J31/I25</f>
        <v>-2961.6242816091958</v>
      </c>
      <c r="J31" s="110">
        <f>L31-'[1]2016-2017'!L29</f>
        <v>-8884.872844827587</v>
      </c>
      <c r="K31" s="104">
        <f>(L31-'[1]2016-2017'!L29)/'[1]2016-2017'!L29</f>
        <v>-0.2325395949755964</v>
      </c>
      <c r="L31" s="11">
        <f>+SUM(L27,L30)</f>
        <v>29323.127155172413</v>
      </c>
      <c r="M31" s="10"/>
      <c r="N31" s="122"/>
      <c r="O31" s="122"/>
    </row>
    <row r="32" spans="1:15" ht="15">
      <c r="A32" s="45" t="s">
        <v>14</v>
      </c>
      <c r="B32" s="8"/>
      <c r="C32" s="7"/>
      <c r="D32" s="65"/>
      <c r="E32" s="7"/>
      <c r="F32" s="5"/>
      <c r="G32" s="8"/>
      <c r="H32" s="24"/>
      <c r="I32" s="61">
        <v>1</v>
      </c>
      <c r="J32" s="5" t="s">
        <v>20</v>
      </c>
      <c r="K32" s="5"/>
      <c r="L32" s="8"/>
      <c r="M32" s="163"/>
      <c r="N32" s="122"/>
      <c r="O32" s="122"/>
    </row>
    <row r="33" spans="1:15" ht="15">
      <c r="A33" s="163" t="s">
        <v>6</v>
      </c>
      <c r="B33" s="2"/>
      <c r="C33" s="163"/>
      <c r="D33" s="66"/>
      <c r="E33" s="163"/>
      <c r="F33" s="163"/>
      <c r="G33" s="2"/>
      <c r="H33" s="2"/>
      <c r="I33" s="162">
        <v>235</v>
      </c>
      <c r="J33" s="163"/>
      <c r="K33" s="163"/>
      <c r="L33" s="3"/>
      <c r="M33" s="10"/>
      <c r="N33" s="122"/>
      <c r="O33" s="122"/>
    </row>
    <row r="34" spans="1:15">
      <c r="B34" s="2" t="s">
        <v>7</v>
      </c>
      <c r="D34" s="67"/>
      <c r="E34" s="163"/>
      <c r="F34" s="163"/>
      <c r="G34" s="2"/>
      <c r="H34" s="2"/>
      <c r="I34" s="54" t="s">
        <v>118</v>
      </c>
      <c r="L34" s="3">
        <v>235</v>
      </c>
      <c r="M34" s="10"/>
      <c r="N34" s="121"/>
      <c r="O34" s="121"/>
    </row>
    <row r="35" spans="1:15">
      <c r="B35" s="2"/>
      <c r="D35" s="67"/>
      <c r="E35" s="163"/>
      <c r="F35" s="163"/>
      <c r="G35" s="2"/>
      <c r="H35" s="2"/>
      <c r="I35" s="35"/>
      <c r="L35" s="2"/>
      <c r="M35" s="163"/>
      <c r="N35" s="121"/>
      <c r="O35" s="121"/>
    </row>
    <row r="36" spans="1:15">
      <c r="B36" s="2" t="s">
        <v>15</v>
      </c>
      <c r="D36" s="19"/>
      <c r="E36" s="163"/>
      <c r="F36" s="163"/>
      <c r="G36" s="3"/>
      <c r="H36" s="2"/>
      <c r="I36" s="142" t="s">
        <v>77</v>
      </c>
      <c r="L36" s="143">
        <v>2500</v>
      </c>
      <c r="M36" s="10"/>
      <c r="N36" s="121"/>
      <c r="O36" s="121"/>
    </row>
    <row r="37" spans="1:15">
      <c r="B37" s="2"/>
      <c r="D37" s="19"/>
      <c r="E37" s="163"/>
      <c r="F37" s="163"/>
      <c r="G37" s="2"/>
      <c r="H37" s="22"/>
      <c r="I37" s="60"/>
      <c r="J37" s="12"/>
      <c r="K37" s="12"/>
      <c r="L37" s="11">
        <f>+SUM(L34,L36)</f>
        <v>2735</v>
      </c>
      <c r="M37" s="10"/>
      <c r="N37" s="121"/>
      <c r="O37" s="121"/>
    </row>
    <row r="38" spans="1:15" ht="15">
      <c r="A38" s="45" t="s">
        <v>19</v>
      </c>
      <c r="B38" s="8"/>
      <c r="C38" s="7"/>
      <c r="D38" s="46">
        <v>5</v>
      </c>
      <c r="E38" s="7" t="s">
        <v>5</v>
      </c>
      <c r="F38" s="5"/>
      <c r="G38" s="8"/>
      <c r="H38" s="24"/>
      <c r="I38" s="58">
        <v>4</v>
      </c>
      <c r="J38" s="5" t="s">
        <v>5</v>
      </c>
      <c r="K38" s="5"/>
      <c r="L38" s="8"/>
      <c r="M38" s="163"/>
      <c r="N38" s="121"/>
      <c r="O38" s="121"/>
    </row>
    <row r="39" spans="1:15" ht="15">
      <c r="A39" s="163" t="s">
        <v>6</v>
      </c>
      <c r="B39" s="2"/>
      <c r="C39" s="163"/>
      <c r="D39" s="48">
        <v>238</v>
      </c>
      <c r="E39" s="163"/>
      <c r="F39" s="163"/>
      <c r="G39" s="3"/>
      <c r="H39" s="2"/>
      <c r="I39" s="63">
        <v>276</v>
      </c>
      <c r="J39" s="163"/>
      <c r="K39" s="163"/>
      <c r="L39" s="3"/>
      <c r="M39" s="10"/>
      <c r="N39" s="121"/>
      <c r="O39" s="121"/>
    </row>
    <row r="40" spans="1:15" ht="15">
      <c r="A40" s="31" t="s">
        <v>28</v>
      </c>
      <c r="B40" s="2" t="s">
        <v>7</v>
      </c>
      <c r="D40" s="25" t="s">
        <v>119</v>
      </c>
      <c r="E40" s="163"/>
      <c r="F40" s="163"/>
      <c r="G40" s="3">
        <f>+D39*D38</f>
        <v>1190</v>
      </c>
      <c r="H40" s="2"/>
      <c r="I40" s="54" t="s">
        <v>120</v>
      </c>
      <c r="L40" s="3">
        <f>+I39*I38</f>
        <v>1104</v>
      </c>
      <c r="M40" s="10"/>
      <c r="N40" s="121"/>
      <c r="O40" s="121"/>
    </row>
    <row r="41" spans="1:15">
      <c r="B41" s="2"/>
      <c r="D41" s="19"/>
      <c r="E41" s="163"/>
      <c r="F41" s="163"/>
      <c r="G41" s="2"/>
      <c r="H41" s="2"/>
      <c r="I41" s="35"/>
      <c r="L41" s="2"/>
      <c r="M41" s="163"/>
      <c r="N41" s="121"/>
      <c r="O41" s="121"/>
    </row>
    <row r="42" spans="1:15">
      <c r="B42" s="2"/>
      <c r="C42" s="12"/>
      <c r="D42" s="13"/>
      <c r="E42" s="12"/>
      <c r="F42" s="12"/>
      <c r="G42" s="11">
        <f>+G40</f>
        <v>1190</v>
      </c>
      <c r="H42" s="14"/>
      <c r="I42" s="60"/>
      <c r="J42" s="12"/>
      <c r="K42" s="12"/>
      <c r="L42" s="11">
        <f>+L40</f>
        <v>1104</v>
      </c>
      <c r="M42" s="10"/>
      <c r="N42" s="121"/>
      <c r="O42" s="121"/>
    </row>
    <row r="43" spans="1:15">
      <c r="A43" s="5" t="s">
        <v>25</v>
      </c>
      <c r="B43" s="8"/>
      <c r="C43" s="5"/>
      <c r="D43" s="23"/>
      <c r="E43" s="5"/>
      <c r="F43" s="5"/>
      <c r="G43" s="6">
        <f>+SUM(G17,G24,G31,G42)</f>
        <v>297430.28299915011</v>
      </c>
      <c r="H43" s="8"/>
      <c r="I43" s="61"/>
      <c r="J43" s="5"/>
      <c r="K43" s="5"/>
      <c r="L43" s="6">
        <f>+SUM(L17,L24,L31,L37,L42)</f>
        <v>391000</v>
      </c>
      <c r="M43" s="10"/>
      <c r="N43" s="121"/>
      <c r="O43" s="121"/>
    </row>
    <row r="44" spans="1:15">
      <c r="A44" t="s">
        <v>121</v>
      </c>
      <c r="B44" s="2"/>
      <c r="D44" s="34">
        <f>D14+D21+D28</f>
        <v>15566810</v>
      </c>
      <c r="E44" s="163" t="s">
        <v>16</v>
      </c>
      <c r="F44" s="163"/>
      <c r="G44" s="2"/>
      <c r="H44" s="2"/>
      <c r="I44" s="34">
        <f>I14+I21+I28</f>
        <v>13914432</v>
      </c>
      <c r="J44" t="s">
        <v>17</v>
      </c>
      <c r="L44" s="2"/>
      <c r="M44" s="163"/>
      <c r="N44" s="121"/>
      <c r="O44" s="121"/>
    </row>
    <row r="45" spans="1:15">
      <c r="C45" s="27"/>
      <c r="D45" s="41" t="s">
        <v>122</v>
      </c>
      <c r="H45" s="27"/>
      <c r="I45" s="54" t="s">
        <v>123</v>
      </c>
      <c r="K45" s="163"/>
      <c r="L45" s="2"/>
      <c r="M45" s="163"/>
      <c r="N45" s="121"/>
      <c r="O45" s="121"/>
    </row>
    <row r="46" spans="1:15">
      <c r="A46" s="117" t="s">
        <v>34</v>
      </c>
      <c r="C46" s="27"/>
      <c r="G46" s="119">
        <v>1500</v>
      </c>
      <c r="H46" s="27"/>
      <c r="K46" s="163"/>
      <c r="L46" s="127" t="s">
        <v>68</v>
      </c>
      <c r="M46" s="42"/>
      <c r="N46" s="121"/>
      <c r="O46" s="121"/>
    </row>
    <row r="47" spans="1:15">
      <c r="A47" s="120" t="s">
        <v>124</v>
      </c>
      <c r="C47" s="27"/>
      <c r="G47" s="54" t="s">
        <v>125</v>
      </c>
      <c r="H47" s="27"/>
      <c r="K47" s="163"/>
      <c r="L47" s="2"/>
      <c r="M47" s="163"/>
      <c r="N47" s="121"/>
      <c r="O47" s="121"/>
    </row>
    <row r="48" spans="1:15">
      <c r="A48" t="s">
        <v>80</v>
      </c>
      <c r="C48" s="27"/>
      <c r="E48" s="36"/>
      <c r="F48" s="37"/>
      <c r="G48" s="111">
        <v>45637</v>
      </c>
      <c r="H48" s="27"/>
      <c r="K48" s="163"/>
      <c r="L48" s="127" t="s">
        <v>68</v>
      </c>
      <c r="M48" s="42"/>
      <c r="N48" s="121"/>
      <c r="O48" s="121"/>
    </row>
    <row r="49" spans="1:15" ht="15">
      <c r="B49" s="31"/>
      <c r="C49" s="27"/>
      <c r="G49" s="54" t="s">
        <v>126</v>
      </c>
      <c r="H49" s="27"/>
      <c r="K49" s="163"/>
      <c r="L49" s="2"/>
      <c r="M49" s="163"/>
      <c r="N49" s="121"/>
      <c r="O49" s="121"/>
    </row>
    <row r="50" spans="1:15">
      <c r="A50" s="117" t="s">
        <v>29</v>
      </c>
      <c r="C50" s="27"/>
      <c r="G50" s="126" t="s">
        <v>68</v>
      </c>
      <c r="H50" s="27"/>
      <c r="K50" s="163"/>
      <c r="L50" s="118">
        <v>170000</v>
      </c>
      <c r="M50" s="47"/>
      <c r="N50" s="121"/>
      <c r="O50" s="121"/>
    </row>
    <row r="51" spans="1:15">
      <c r="A51" s="120" t="s">
        <v>66</v>
      </c>
      <c r="C51" s="27"/>
      <c r="H51" s="27"/>
      <c r="K51" s="163"/>
      <c r="L51" s="88" t="s">
        <v>127</v>
      </c>
      <c r="M51" s="41"/>
      <c r="N51" s="121"/>
      <c r="O51" s="121"/>
    </row>
    <row r="52" spans="1:15">
      <c r="A52" s="117" t="s">
        <v>56</v>
      </c>
      <c r="B52" t="s">
        <v>81</v>
      </c>
      <c r="C52" s="27"/>
      <c r="G52" s="124">
        <v>0</v>
      </c>
      <c r="H52" s="27"/>
      <c r="K52" s="163"/>
      <c r="L52" s="125">
        <v>0</v>
      </c>
      <c r="M52" s="41"/>
      <c r="N52" s="121"/>
      <c r="O52" s="121"/>
    </row>
    <row r="53" spans="1:15">
      <c r="B53" t="s">
        <v>128</v>
      </c>
      <c r="C53" s="27"/>
      <c r="H53" s="27"/>
      <c r="K53" s="163"/>
      <c r="L53" s="88"/>
      <c r="M53" s="41"/>
      <c r="N53" s="121"/>
      <c r="O53" s="121"/>
    </row>
    <row r="54" spans="1:15">
      <c r="A54" t="s">
        <v>57</v>
      </c>
      <c r="C54" s="27"/>
      <c r="G54" s="26">
        <v>0</v>
      </c>
      <c r="H54" s="27"/>
      <c r="K54" s="163"/>
      <c r="L54" s="29">
        <v>0</v>
      </c>
      <c r="M54" s="42"/>
      <c r="N54" s="121"/>
      <c r="O54" s="121"/>
    </row>
    <row r="55" spans="1:15">
      <c r="C55" s="27"/>
      <c r="H55" s="27"/>
      <c r="K55" s="163"/>
      <c r="L55" s="2"/>
      <c r="M55" s="163"/>
      <c r="N55" s="121"/>
      <c r="O55" s="121"/>
    </row>
    <row r="56" spans="1:15">
      <c r="A56" t="s">
        <v>21</v>
      </c>
      <c r="C56" s="27"/>
      <c r="G56" s="26">
        <v>500</v>
      </c>
      <c r="H56" s="27"/>
      <c r="K56" s="163"/>
      <c r="L56" s="29">
        <v>1000</v>
      </c>
      <c r="M56" s="42"/>
      <c r="N56" s="121"/>
      <c r="O56" s="121"/>
    </row>
    <row r="57" spans="1:15">
      <c r="C57" s="27"/>
      <c r="H57" s="27"/>
      <c r="K57" s="163"/>
      <c r="L57" s="2"/>
      <c r="M57" s="163"/>
      <c r="N57" s="121"/>
      <c r="O57" s="121"/>
    </row>
    <row r="58" spans="1:15">
      <c r="A58" t="s">
        <v>22</v>
      </c>
      <c r="C58" s="27"/>
      <c r="G58" s="26">
        <v>0</v>
      </c>
      <c r="H58" s="27"/>
      <c r="K58" s="163"/>
      <c r="L58" s="29">
        <v>0</v>
      </c>
      <c r="M58" s="42"/>
      <c r="N58" s="121"/>
      <c r="O58" s="121"/>
    </row>
    <row r="59" spans="1:15">
      <c r="C59" s="27"/>
      <c r="H59" s="27"/>
      <c r="K59" s="163"/>
      <c r="L59" s="2"/>
      <c r="M59" s="163"/>
      <c r="N59" s="121"/>
      <c r="O59" s="121"/>
    </row>
    <row r="60" spans="1:15">
      <c r="A60" t="s">
        <v>23</v>
      </c>
      <c r="C60" s="28"/>
      <c r="G60" s="26">
        <v>0</v>
      </c>
      <c r="H60" s="28"/>
      <c r="K60" s="1"/>
      <c r="L60" s="30">
        <v>0</v>
      </c>
      <c r="M60" s="42"/>
      <c r="N60" s="121"/>
      <c r="O60" s="121"/>
    </row>
    <row r="61" spans="1:15" ht="15">
      <c r="A61" s="5" t="s">
        <v>24</v>
      </c>
      <c r="B61" s="5"/>
      <c r="C61" s="5"/>
      <c r="D61" s="5" t="s">
        <v>2</v>
      </c>
      <c r="E61" s="5"/>
      <c r="F61" s="5"/>
      <c r="G61" s="144">
        <f>+SUM(G43,G46,G48,G50,G52,G54,G56,G58,G60)</f>
        <v>345067.28299915011</v>
      </c>
      <c r="H61" s="5"/>
      <c r="I61" s="5" t="s">
        <v>26</v>
      </c>
      <c r="J61" s="5"/>
      <c r="K61" s="5"/>
      <c r="L61" s="144">
        <f>+SUM(L43,L46,L48,L50,L52,L54,L56,L58,L60)</f>
        <v>562000</v>
      </c>
      <c r="M61" s="9"/>
      <c r="N61" s="121"/>
      <c r="O61" s="121"/>
    </row>
    <row r="62" spans="1:15">
      <c r="B62" s="38" t="s">
        <v>37</v>
      </c>
      <c r="G62" s="145"/>
      <c r="N62" s="121"/>
      <c r="O62" s="121"/>
    </row>
    <row r="63" spans="1:15" ht="15">
      <c r="A63" t="s">
        <v>30</v>
      </c>
      <c r="D63" s="35" t="s">
        <v>74</v>
      </c>
      <c r="E63" s="140">
        <v>205869</v>
      </c>
      <c r="G63" s="146">
        <f>+SUM(G13,G20,G27,G40,G48,G56)</f>
        <v>158964.67388214925</v>
      </c>
      <c r="H63" s="139"/>
      <c r="L63" s="26"/>
      <c r="M63" s="26"/>
      <c r="N63" s="121"/>
      <c r="O63" s="121"/>
    </row>
    <row r="64" spans="1:15" ht="15">
      <c r="B64" t="s">
        <v>27</v>
      </c>
      <c r="E64" s="141">
        <f>(G63-E63)/E63</f>
        <v>-0.22783578935075582</v>
      </c>
      <c r="G64" s="146">
        <f>+SUM(G13,G20,G27)</f>
        <v>111637.67388214925</v>
      </c>
      <c r="H64" s="139"/>
      <c r="L64" s="26"/>
      <c r="M64" s="26"/>
      <c r="N64" s="121"/>
      <c r="O64" s="121"/>
    </row>
    <row r="65" spans="1:15" ht="15">
      <c r="A65" t="s">
        <v>31</v>
      </c>
      <c r="G65" s="147"/>
      <c r="H65" s="139"/>
      <c r="I65" s="35" t="s">
        <v>73</v>
      </c>
      <c r="J65" s="26">
        <v>162712</v>
      </c>
      <c r="L65" s="146">
        <f>+SUM(L13,L20,L27,L34,L40,(L50*0.5),L56)</f>
        <v>219416.60183189658</v>
      </c>
      <c r="M65" s="9"/>
      <c r="N65" s="121"/>
      <c r="O65" s="121"/>
    </row>
    <row r="66" spans="1:15" ht="15">
      <c r="B66" t="s">
        <v>27</v>
      </c>
      <c r="G66" s="147"/>
      <c r="H66" s="139"/>
      <c r="J66" s="141">
        <f>(L65-J65)/J65</f>
        <v>0.348496741677913</v>
      </c>
      <c r="L66" s="146">
        <f>+SUM(L13,L20,L27)</f>
        <v>132077.60183189658</v>
      </c>
      <c r="M66" s="9"/>
      <c r="N66" s="121"/>
      <c r="O66" s="121"/>
    </row>
    <row r="67" spans="1:15" ht="15">
      <c r="A67" t="s">
        <v>32</v>
      </c>
      <c r="G67" s="146">
        <f>+SUM(G16,G23,G30,G46)</f>
        <v>186102.60911700086</v>
      </c>
      <c r="H67" s="139"/>
      <c r="L67" s="147"/>
      <c r="M67" s="26"/>
      <c r="N67" s="121"/>
      <c r="O67" s="121"/>
    </row>
    <row r="68" spans="1:15" ht="15">
      <c r="B68" t="s">
        <v>27</v>
      </c>
      <c r="G68" s="146">
        <f>+SUM(G16,G23,G30)</f>
        <v>184602.60911700086</v>
      </c>
      <c r="H68" s="139"/>
      <c r="L68" s="147"/>
      <c r="M68" s="26"/>
      <c r="N68" s="121"/>
      <c r="O68" s="121"/>
    </row>
    <row r="69" spans="1:15" ht="15">
      <c r="A69" t="s">
        <v>33</v>
      </c>
      <c r="D69" s="116">
        <f>D70/'[1]2016-2017'!G68</f>
        <v>0.12196620483846848</v>
      </c>
      <c r="G69" s="145"/>
      <c r="I69" s="116">
        <f>I70/'[1]2016-2017'!L68</f>
        <v>-1.9281073695268641E-2</v>
      </c>
      <c r="L69" s="146">
        <f>+SUM(L16,L23,L30,L36,(L50*0.5))</f>
        <v>342583.39816810348</v>
      </c>
      <c r="M69" s="9"/>
      <c r="N69" s="121"/>
      <c r="O69" s="121"/>
    </row>
    <row r="70" spans="1:15" ht="15">
      <c r="B70" t="s">
        <v>27</v>
      </c>
      <c r="D70" s="39">
        <f>D72-'[1]2016-2017'!G57</f>
        <v>37519</v>
      </c>
      <c r="G70" s="145"/>
      <c r="I70" s="39">
        <f>I72-'[1]2016-2017'!L68</f>
        <v>-11049</v>
      </c>
      <c r="L70" s="146">
        <f>+SUM(L16,L23,L30)</f>
        <v>255083.39816810348</v>
      </c>
      <c r="M70" s="9"/>
      <c r="N70" s="121"/>
      <c r="O70" s="121"/>
    </row>
    <row r="71" spans="1:15">
      <c r="D71" s="129" t="s">
        <v>129</v>
      </c>
      <c r="G71" s="145"/>
      <c r="I71" s="129" t="s">
        <v>130</v>
      </c>
      <c r="L71" s="145"/>
      <c r="N71" s="121"/>
      <c r="O71" s="121"/>
    </row>
    <row r="72" spans="1:15" ht="15">
      <c r="C72" s="35" t="s">
        <v>35</v>
      </c>
      <c r="D72" s="157">
        <v>345137</v>
      </c>
      <c r="E72" s="36"/>
      <c r="F72" s="37" t="s">
        <v>36</v>
      </c>
      <c r="G72" s="148">
        <f>G61</f>
        <v>345067.28299915011</v>
      </c>
      <c r="H72" s="35" t="s">
        <v>35</v>
      </c>
      <c r="I72" s="158">
        <v>562000</v>
      </c>
      <c r="J72" s="36"/>
      <c r="K72" s="37" t="s">
        <v>36</v>
      </c>
      <c r="L72" s="148">
        <f>L61</f>
        <v>562000</v>
      </c>
      <c r="M72" s="43"/>
      <c r="N72" s="121"/>
      <c r="O72" s="121"/>
    </row>
    <row r="73" spans="1:15">
      <c r="D73" s="138">
        <f>G72-D72</f>
        <v>-69.717000849894248</v>
      </c>
      <c r="I73" s="138">
        <f>L72-I72</f>
        <v>0</v>
      </c>
      <c r="N73" s="121"/>
      <c r="O73" s="121"/>
    </row>
    <row r="74" spans="1:15">
      <c r="D74" s="70">
        <f>D73/D72</f>
        <v>-2.0199804961477399E-4</v>
      </c>
      <c r="I74" s="70">
        <f>I73/I72</f>
        <v>0</v>
      </c>
      <c r="N74" s="121"/>
      <c r="O74" s="121"/>
    </row>
    <row r="75" spans="1:15">
      <c r="A75" t="s">
        <v>58</v>
      </c>
      <c r="N75" s="121"/>
      <c r="O75" s="121"/>
    </row>
    <row r="76" spans="1:15">
      <c r="A76" t="s">
        <v>59</v>
      </c>
      <c r="N76" s="121"/>
      <c r="O76" s="121"/>
    </row>
    <row r="77" spans="1:15">
      <c r="A77" t="s">
        <v>60</v>
      </c>
      <c r="N77" s="121"/>
      <c r="O77" s="121"/>
    </row>
    <row r="78" spans="1:15">
      <c r="A78" t="s">
        <v>61</v>
      </c>
      <c r="N78" s="121"/>
      <c r="O78" s="121"/>
    </row>
    <row r="79" spans="1:15">
      <c r="A79" t="s">
        <v>62</v>
      </c>
      <c r="N79" s="121"/>
      <c r="O79" s="121"/>
    </row>
    <row r="80" spans="1:15">
      <c r="A80" t="s">
        <v>72</v>
      </c>
      <c r="I80" t="s">
        <v>37</v>
      </c>
      <c r="N80" s="121"/>
      <c r="O80" s="121"/>
    </row>
    <row r="81" spans="1:15">
      <c r="A81" t="s">
        <v>63</v>
      </c>
      <c r="N81" s="121"/>
      <c r="O81" s="121"/>
    </row>
    <row r="82" spans="1:15">
      <c r="A82" t="s">
        <v>64</v>
      </c>
    </row>
    <row r="83" spans="1:15">
      <c r="A83" t="s">
        <v>65</v>
      </c>
    </row>
  </sheetData>
  <mergeCells count="2">
    <mergeCell ref="G3:H3"/>
    <mergeCell ref="I3:J3"/>
  </mergeCells>
  <pageMargins left="0.7" right="0.7" top="0.75" bottom="0.75" header="0.3" footer="0.3"/>
  <pageSetup scale="42" orientation="landscape" r:id="rId1"/>
</worksheet>
</file>

<file path=docProps/app.xml><?xml version="1.0" encoding="utf-8"?>
<Properties xmlns="http://schemas.openxmlformats.org/officeDocument/2006/extended-properties" xmlns:vt="http://schemas.openxmlformats.org/officeDocument/2006/docPropsVTypes">
  <TotalTime>111</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FY21 Draft</vt:lpstr>
      <vt:lpstr>FY20 Final</vt:lpstr>
      <vt:lpstr>FY19 Final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Shelia</dc:creator>
  <cp:lastModifiedBy>Josh Arneson</cp:lastModifiedBy>
  <cp:revision>15</cp:revision>
  <cp:lastPrinted>2020-04-23T20:55:39Z</cp:lastPrinted>
  <dcterms:created xsi:type="dcterms:W3CDTF">2016-04-29T13:54:33Z</dcterms:created>
  <dcterms:modified xsi:type="dcterms:W3CDTF">2020-05-01T15:28:11Z</dcterms:modified>
</cp:coreProperties>
</file>