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485" yWindow="810" windowWidth="19200" windowHeight="8235"/>
  </bookViews>
  <sheets>
    <sheet name="Sample FY22 Rates with Gateway" sheetId="13" r:id="rId1"/>
    <sheet name="Estimated Usage" sheetId="15" r:id="rId2"/>
    <sheet name="FY22 Final" sheetId="12" r:id="rId3"/>
    <sheet name="FY21 Final" sheetId="9" r:id="rId4"/>
    <sheet name="FY20 Final" sheetId="8" r:id="rId5"/>
    <sheet name="FY19 Final" sheetId="7" r:id="rId6"/>
  </sheets>
  <externalReferences>
    <externalReference r:id="rId7"/>
  </externalReferences>
  <calcPr calcId="145621"/>
</workbook>
</file>

<file path=xl/calcChain.xml><?xml version="1.0" encoding="utf-8"?>
<calcChain xmlns="http://schemas.openxmlformats.org/spreadsheetml/2006/main">
  <c r="G58" i="13" l="1"/>
  <c r="G57" i="13" l="1"/>
  <c r="I33" i="15" l="1"/>
  <c r="J58" i="13"/>
  <c r="I32" i="15"/>
  <c r="H32" i="15"/>
  <c r="J57" i="13"/>
  <c r="H33" i="15"/>
  <c r="F78" i="13"/>
  <c r="H6" i="15"/>
  <c r="G6" i="15"/>
  <c r="H29" i="15"/>
  <c r="G28" i="15"/>
  <c r="G25" i="15"/>
  <c r="H25" i="15" s="1"/>
  <c r="G26" i="15"/>
  <c r="H26" i="15"/>
  <c r="G27" i="15"/>
  <c r="H27" i="15" s="1"/>
  <c r="H28" i="15"/>
  <c r="G29" i="15"/>
  <c r="G30" i="15"/>
  <c r="H30" i="15"/>
  <c r="H9" i="15"/>
  <c r="H20" i="15"/>
  <c r="G9" i="15"/>
  <c r="G10" i="15"/>
  <c r="H10" i="15" s="1"/>
  <c r="G11" i="15"/>
  <c r="H11" i="15" s="1"/>
  <c r="G12" i="15"/>
  <c r="H12" i="15" s="1"/>
  <c r="G13" i="15"/>
  <c r="H13" i="15" s="1"/>
  <c r="G14" i="15"/>
  <c r="H14" i="15" s="1"/>
  <c r="G15" i="15"/>
  <c r="H15" i="15" s="1"/>
  <c r="G16" i="15"/>
  <c r="H16" i="15" s="1"/>
  <c r="G17" i="15"/>
  <c r="H17" i="15" s="1"/>
  <c r="G18" i="15"/>
  <c r="H18" i="15" s="1"/>
  <c r="G19" i="15"/>
  <c r="H19" i="15" s="1"/>
  <c r="G20" i="15"/>
  <c r="G21" i="15"/>
  <c r="H21" i="15" s="1"/>
  <c r="G22" i="15"/>
  <c r="H22" i="15" s="1"/>
  <c r="G62" i="13" l="1"/>
  <c r="H59" i="13" s="1"/>
  <c r="D87" i="12"/>
  <c r="F88" i="13"/>
  <c r="G134" i="13"/>
  <c r="G133" i="13"/>
  <c r="G132" i="13"/>
  <c r="F135" i="13"/>
  <c r="F134" i="13"/>
  <c r="F133" i="13"/>
  <c r="F132" i="13"/>
  <c r="G126" i="13"/>
  <c r="G125" i="13"/>
  <c r="G124" i="13"/>
  <c r="F127" i="13"/>
  <c r="F126" i="13"/>
  <c r="F125" i="13"/>
  <c r="F124" i="13"/>
  <c r="G118" i="13"/>
  <c r="G117" i="13"/>
  <c r="G116" i="13"/>
  <c r="F116" i="13"/>
  <c r="M97" i="13"/>
  <c r="M96" i="13"/>
  <c r="L97" i="13"/>
  <c r="L96" i="13"/>
  <c r="M93" i="13"/>
  <c r="M92" i="13"/>
  <c r="L93" i="13"/>
  <c r="L92" i="13"/>
  <c r="M89" i="13"/>
  <c r="M88" i="13"/>
  <c r="L89" i="13"/>
  <c r="L88" i="13"/>
  <c r="G97" i="13"/>
  <c r="F97" i="13"/>
  <c r="G96" i="13"/>
  <c r="F96" i="13"/>
  <c r="G93" i="13"/>
  <c r="G92" i="13"/>
  <c r="F93" i="13"/>
  <c r="F92" i="13"/>
  <c r="G89" i="13"/>
  <c r="F89" i="13"/>
  <c r="F80" i="13"/>
  <c r="F79" i="13"/>
  <c r="E80" i="13"/>
  <c r="E79" i="13"/>
  <c r="E78" i="13"/>
  <c r="M32" i="13"/>
  <c r="L32" i="13"/>
  <c r="N32" i="13" s="1"/>
  <c r="O32" i="13" s="1"/>
  <c r="M29" i="13"/>
  <c r="M28" i="13"/>
  <c r="L28" i="13"/>
  <c r="G32" i="13"/>
  <c r="G33" i="13" s="1"/>
  <c r="F32" i="13"/>
  <c r="H32" i="13" s="1"/>
  <c r="I32" i="13" s="1"/>
  <c r="F10" i="13"/>
  <c r="J70" i="13"/>
  <c r="F70" i="13"/>
  <c r="J69" i="13"/>
  <c r="F69" i="13"/>
  <c r="F68" i="13"/>
  <c r="C62" i="13"/>
  <c r="E62" i="13" s="1"/>
  <c r="I59" i="13"/>
  <c r="E59" i="13"/>
  <c r="I58" i="13"/>
  <c r="E58" i="13"/>
  <c r="I57" i="13"/>
  <c r="E57" i="13"/>
  <c r="M46" i="13"/>
  <c r="K46" i="13"/>
  <c r="G46" i="13"/>
  <c r="E46" i="13"/>
  <c r="M33" i="13"/>
  <c r="K32" i="13"/>
  <c r="K33" i="13" s="1"/>
  <c r="E32" i="13"/>
  <c r="E33" i="13" s="1"/>
  <c r="E48" i="13" s="1"/>
  <c r="E49" i="13" s="1"/>
  <c r="C76" i="13" s="1"/>
  <c r="N28" i="13"/>
  <c r="O28" i="13" s="1"/>
  <c r="K28" i="13"/>
  <c r="K29" i="13" s="1"/>
  <c r="E12" i="13"/>
  <c r="E13" i="13" s="1"/>
  <c r="D12" i="13"/>
  <c r="D13" i="13" s="1"/>
  <c r="F11" i="13"/>
  <c r="K48" i="13" l="1"/>
  <c r="K49" i="13" s="1"/>
  <c r="D76" i="13" s="1"/>
  <c r="D80" i="13" s="1"/>
  <c r="J97" i="13" s="1"/>
  <c r="H57" i="13"/>
  <c r="D57" i="13"/>
  <c r="D59" i="13"/>
  <c r="E70" i="13" s="1"/>
  <c r="C80" i="13" s="1"/>
  <c r="G48" i="13"/>
  <c r="G49" i="13" s="1"/>
  <c r="E76" i="13" s="1"/>
  <c r="D58" i="13"/>
  <c r="G98" i="13"/>
  <c r="G94" i="13"/>
  <c r="M90" i="13"/>
  <c r="M98" i="13"/>
  <c r="F71" i="13"/>
  <c r="M94" i="13"/>
  <c r="M30" i="13"/>
  <c r="F12" i="13"/>
  <c r="F13" i="13" s="1"/>
  <c r="H62" i="13"/>
  <c r="J71" i="13"/>
  <c r="K70" i="13" s="1"/>
  <c r="D69" i="13" s="1"/>
  <c r="E69" i="13" s="1"/>
  <c r="C79" i="13" s="1"/>
  <c r="I62" i="13"/>
  <c r="H58" i="13"/>
  <c r="E45" i="12"/>
  <c r="M48" i="13" l="1"/>
  <c r="M49" i="13" s="1"/>
  <c r="F76" i="13" s="1"/>
  <c r="D79" i="13"/>
  <c r="J93" i="13" s="1"/>
  <c r="D78" i="13"/>
  <c r="J89" i="13" s="1"/>
  <c r="D62" i="13"/>
  <c r="N97" i="13"/>
  <c r="O97" i="13" s="1"/>
  <c r="K97" i="13"/>
  <c r="E132" i="13"/>
  <c r="J96" i="13"/>
  <c r="N96" i="13" s="1"/>
  <c r="O96" i="13" s="1"/>
  <c r="D93" i="13"/>
  <c r="D92" i="13"/>
  <c r="D97" i="13"/>
  <c r="D96" i="13"/>
  <c r="K69" i="13"/>
  <c r="D68" i="13" s="1"/>
  <c r="E68" i="13" s="1"/>
  <c r="K45" i="12"/>
  <c r="J88" i="13" l="1"/>
  <c r="E117" i="13" s="1"/>
  <c r="J92" i="13"/>
  <c r="E125" i="13" s="1"/>
  <c r="K96" i="13"/>
  <c r="K98" i="13" s="1"/>
  <c r="E133" i="13"/>
  <c r="E134" i="13" s="1"/>
  <c r="H93" i="13"/>
  <c r="I93" i="13" s="1"/>
  <c r="D124" i="13"/>
  <c r="E93" i="13"/>
  <c r="E96" i="13"/>
  <c r="H96" i="13"/>
  <c r="I96" i="13" s="1"/>
  <c r="D133" i="13"/>
  <c r="H97" i="13"/>
  <c r="I97" i="13" s="1"/>
  <c r="D132" i="13"/>
  <c r="E97" i="13"/>
  <c r="N89" i="13"/>
  <c r="O89" i="13" s="1"/>
  <c r="K89" i="13"/>
  <c r="E116" i="13"/>
  <c r="N93" i="13"/>
  <c r="O93" i="13" s="1"/>
  <c r="E124" i="13"/>
  <c r="K93" i="13"/>
  <c r="E71" i="13"/>
  <c r="C78" i="13"/>
  <c r="E92" i="13"/>
  <c r="D125" i="13"/>
  <c r="H92" i="13"/>
  <c r="I92" i="13" s="1"/>
  <c r="F21" i="13"/>
  <c r="J68" i="12"/>
  <c r="N92" i="13" l="1"/>
  <c r="O92" i="13" s="1"/>
  <c r="N88" i="13"/>
  <c r="O88" i="13" s="1"/>
  <c r="F20" i="13"/>
  <c r="F22" i="13"/>
  <c r="K88" i="13"/>
  <c r="K90" i="13" s="1"/>
  <c r="K92" i="13"/>
  <c r="K94" i="13" s="1"/>
  <c r="E126" i="13"/>
  <c r="E94" i="13"/>
  <c r="E118" i="13"/>
  <c r="E98" i="13"/>
  <c r="D134" i="13"/>
  <c r="D135" i="13" s="1"/>
  <c r="D136" i="13" s="1"/>
  <c r="D137" i="13" s="1"/>
  <c r="H105" i="13"/>
  <c r="D89" i="13"/>
  <c r="D88" i="13"/>
  <c r="D126" i="13"/>
  <c r="G133" i="12"/>
  <c r="G132" i="12"/>
  <c r="G131" i="12"/>
  <c r="F134" i="12"/>
  <c r="F133" i="12"/>
  <c r="F132" i="12"/>
  <c r="F131" i="12"/>
  <c r="G125" i="12"/>
  <c r="G124" i="12"/>
  <c r="G123" i="12"/>
  <c r="F126" i="12"/>
  <c r="F125" i="12"/>
  <c r="F124" i="12"/>
  <c r="F123" i="12"/>
  <c r="G117" i="12"/>
  <c r="G116" i="12"/>
  <c r="G115" i="12"/>
  <c r="F118" i="12"/>
  <c r="F117" i="12"/>
  <c r="F116" i="12"/>
  <c r="F115" i="12"/>
  <c r="M96" i="12"/>
  <c r="M95" i="12"/>
  <c r="L96" i="12"/>
  <c r="L95" i="12"/>
  <c r="M92" i="12"/>
  <c r="M91" i="12"/>
  <c r="L92" i="12"/>
  <c r="L91" i="12"/>
  <c r="M88" i="12"/>
  <c r="M87" i="12"/>
  <c r="L88" i="12"/>
  <c r="L87" i="12"/>
  <c r="G96" i="12"/>
  <c r="G95" i="12"/>
  <c r="G97" i="12"/>
  <c r="F96" i="12"/>
  <c r="F95" i="12"/>
  <c r="G92" i="12"/>
  <c r="G91" i="12"/>
  <c r="G93" i="12" s="1"/>
  <c r="F92" i="12"/>
  <c r="F91" i="12"/>
  <c r="G88" i="12"/>
  <c r="G87" i="12"/>
  <c r="F88" i="12"/>
  <c r="F87" i="12"/>
  <c r="E77" i="12"/>
  <c r="C61" i="12"/>
  <c r="E61" i="12" s="1"/>
  <c r="F79" i="12"/>
  <c r="F78" i="12"/>
  <c r="F77" i="12"/>
  <c r="E79" i="12"/>
  <c r="E78" i="12"/>
  <c r="F69" i="12"/>
  <c r="F68" i="12"/>
  <c r="F67" i="12"/>
  <c r="J69" i="12"/>
  <c r="J70" i="12" s="1"/>
  <c r="K69" i="12" s="1"/>
  <c r="D68" i="12" s="1"/>
  <c r="M31" i="12"/>
  <c r="M32" i="12" s="1"/>
  <c r="L31" i="12"/>
  <c r="G31" i="12"/>
  <c r="G32" i="12" s="1"/>
  <c r="F31" i="12"/>
  <c r="H31" i="12" s="1"/>
  <c r="I31" i="12" s="1"/>
  <c r="M28" i="12"/>
  <c r="M27" i="12"/>
  <c r="M29" i="12" s="1"/>
  <c r="L27" i="12"/>
  <c r="N27" i="12" s="1"/>
  <c r="O27" i="12" s="1"/>
  <c r="D11" i="12"/>
  <c r="D12" i="12" s="1"/>
  <c r="G61" i="12"/>
  <c r="H58" i="12" s="1"/>
  <c r="I58" i="12"/>
  <c r="E58" i="12"/>
  <c r="I57" i="12"/>
  <c r="E57" i="12"/>
  <c r="I56" i="12"/>
  <c r="E56" i="12"/>
  <c r="M45" i="12"/>
  <c r="G45" i="12"/>
  <c r="N31" i="12"/>
  <c r="O31" i="12" s="1"/>
  <c r="K31" i="12"/>
  <c r="K32" i="12" s="1"/>
  <c r="K47" i="12" s="1"/>
  <c r="E31" i="12"/>
  <c r="E32" i="12" s="1"/>
  <c r="K27" i="12"/>
  <c r="K28" i="12" s="1"/>
  <c r="E11" i="12"/>
  <c r="E12" i="12" s="1"/>
  <c r="F10" i="12"/>
  <c r="F9" i="12"/>
  <c r="H104" i="13" l="1"/>
  <c r="D127" i="13"/>
  <c r="D128" i="13" s="1"/>
  <c r="D129" i="13" s="1"/>
  <c r="E88" i="13"/>
  <c r="D117" i="13"/>
  <c r="H88" i="13"/>
  <c r="I88" i="13" s="1"/>
  <c r="H89" i="13"/>
  <c r="I89" i="13" s="1"/>
  <c r="D116" i="13"/>
  <c r="E89" i="13"/>
  <c r="G105" i="13" s="1"/>
  <c r="H109" i="13"/>
  <c r="H106" i="13"/>
  <c r="H107" i="13" s="1"/>
  <c r="G89" i="12"/>
  <c r="M93" i="12"/>
  <c r="E47" i="12"/>
  <c r="E48" i="12" s="1"/>
  <c r="C75" i="12" s="1"/>
  <c r="K48" i="12"/>
  <c r="D75" i="12" s="1"/>
  <c r="D79" i="12" s="1"/>
  <c r="J96" i="12" s="1"/>
  <c r="K68" i="12"/>
  <c r="D67" i="12" s="1"/>
  <c r="M97" i="12"/>
  <c r="M89" i="12"/>
  <c r="F70" i="12"/>
  <c r="D58" i="12"/>
  <c r="E69" i="12" s="1"/>
  <c r="D57" i="12"/>
  <c r="E68" i="12" s="1"/>
  <c r="D56" i="12"/>
  <c r="M47" i="12"/>
  <c r="M48" i="12" s="1"/>
  <c r="F75" i="12" s="1"/>
  <c r="G47" i="12"/>
  <c r="G48" i="12" s="1"/>
  <c r="E75" i="12" s="1"/>
  <c r="F11" i="12"/>
  <c r="F12" i="12" s="1"/>
  <c r="H61" i="12"/>
  <c r="I61" i="12"/>
  <c r="H56" i="12"/>
  <c r="H57" i="12"/>
  <c r="D119" i="9"/>
  <c r="D118" i="13" l="1"/>
  <c r="D119" i="13" s="1"/>
  <c r="G104" i="13"/>
  <c r="E90" i="13"/>
  <c r="C79" i="12"/>
  <c r="D95" i="12" s="1"/>
  <c r="D78" i="12"/>
  <c r="J91" i="12" s="1"/>
  <c r="D77" i="12"/>
  <c r="J87" i="12" s="1"/>
  <c r="J95" i="12"/>
  <c r="K95" i="12" s="1"/>
  <c r="D61" i="12"/>
  <c r="E67" i="12"/>
  <c r="C77" i="12" s="1"/>
  <c r="C78" i="12"/>
  <c r="D91" i="12" s="1"/>
  <c r="F20" i="12" s="1"/>
  <c r="N96" i="12"/>
  <c r="O96" i="12" s="1"/>
  <c r="K96" i="12"/>
  <c r="E131" i="12"/>
  <c r="D92" i="12"/>
  <c r="N95" i="12"/>
  <c r="O95" i="12" s="1"/>
  <c r="D96" i="12"/>
  <c r="J92" i="12"/>
  <c r="K31" i="8"/>
  <c r="K31" i="9"/>
  <c r="M31" i="9"/>
  <c r="L31" i="9"/>
  <c r="K27" i="9"/>
  <c r="K28" i="9" s="1"/>
  <c r="G109" i="13" l="1"/>
  <c r="G106" i="13"/>
  <c r="G107" i="13" s="1"/>
  <c r="J88" i="12"/>
  <c r="E115" i="12" s="1"/>
  <c r="E132" i="12"/>
  <c r="E133" i="12" s="1"/>
  <c r="E70" i="12"/>
  <c r="F19" i="12"/>
  <c r="F21" i="12"/>
  <c r="D116" i="12"/>
  <c r="F117" i="13" s="1"/>
  <c r="D88" i="12"/>
  <c r="D115" i="12" s="1"/>
  <c r="K97" i="12"/>
  <c r="N88" i="12"/>
  <c r="O88" i="12" s="1"/>
  <c r="N87" i="12"/>
  <c r="O87" i="12" s="1"/>
  <c r="E116" i="12"/>
  <c r="K87" i="12"/>
  <c r="E95" i="12"/>
  <c r="D132" i="12"/>
  <c r="H95" i="12"/>
  <c r="I95" i="12" s="1"/>
  <c r="E124" i="12"/>
  <c r="K91" i="12"/>
  <c r="N91" i="12"/>
  <c r="O91" i="12" s="1"/>
  <c r="H96" i="12"/>
  <c r="I96" i="12" s="1"/>
  <c r="D131" i="12"/>
  <c r="E96" i="12"/>
  <c r="E91" i="12"/>
  <c r="H91" i="12"/>
  <c r="I91" i="12" s="1"/>
  <c r="D124" i="12"/>
  <c r="N92" i="12"/>
  <c r="O92" i="12" s="1"/>
  <c r="E123" i="12"/>
  <c r="K92" i="12"/>
  <c r="H92" i="12"/>
  <c r="I92" i="12" s="1"/>
  <c r="D123" i="12"/>
  <c r="E92" i="12"/>
  <c r="M28" i="9"/>
  <c r="L27" i="9"/>
  <c r="E31" i="9"/>
  <c r="F31" i="9"/>
  <c r="C61" i="9"/>
  <c r="D56" i="9" s="1"/>
  <c r="J69" i="9"/>
  <c r="J68" i="9"/>
  <c r="E56" i="9"/>
  <c r="K88" i="12" l="1"/>
  <c r="K89" i="12" s="1"/>
  <c r="D125" i="12"/>
  <c r="E125" i="12"/>
  <c r="H103" i="12"/>
  <c r="H108" i="12" s="1"/>
  <c r="D133" i="12"/>
  <c r="D134" i="12" s="1"/>
  <c r="D135" i="12" s="1"/>
  <c r="D136" i="12" s="1"/>
  <c r="E97" i="12"/>
  <c r="E93" i="12"/>
  <c r="E117" i="12"/>
  <c r="E87" i="12"/>
  <c r="H87" i="12"/>
  <c r="I87" i="12" s="1"/>
  <c r="H88" i="12"/>
  <c r="I88" i="12" s="1"/>
  <c r="E88" i="12"/>
  <c r="G104" i="12" s="1"/>
  <c r="K93" i="12"/>
  <c r="F9" i="9"/>
  <c r="G61" i="9"/>
  <c r="H61" i="9" s="1"/>
  <c r="E61" i="9"/>
  <c r="I58" i="9"/>
  <c r="E58" i="9"/>
  <c r="I57" i="9"/>
  <c r="E57" i="9"/>
  <c r="I56" i="9"/>
  <c r="K45" i="9"/>
  <c r="E45" i="9"/>
  <c r="M45" i="9"/>
  <c r="G45" i="9"/>
  <c r="M32" i="9"/>
  <c r="E32" i="9"/>
  <c r="N31" i="9"/>
  <c r="O31" i="9" s="1"/>
  <c r="K32" i="9"/>
  <c r="H31" i="9"/>
  <c r="I31" i="9" s="1"/>
  <c r="N27" i="9"/>
  <c r="O27" i="9" s="1"/>
  <c r="E11" i="9"/>
  <c r="E12" i="9" s="1"/>
  <c r="D11" i="9"/>
  <c r="D12" i="9" s="1"/>
  <c r="F10" i="9"/>
  <c r="G103" i="12" l="1"/>
  <c r="G88" i="13"/>
  <c r="G90" i="13" s="1"/>
  <c r="H104" i="12"/>
  <c r="H105" i="12" s="1"/>
  <c r="H106" i="12" s="1"/>
  <c r="D126" i="12"/>
  <c r="D127" i="12" s="1"/>
  <c r="D128" i="12" s="1"/>
  <c r="G105" i="12"/>
  <c r="D117" i="12"/>
  <c r="F118" i="13" s="1"/>
  <c r="E89" i="12"/>
  <c r="E47" i="9"/>
  <c r="E48" i="9" s="1"/>
  <c r="C75" i="9" s="1"/>
  <c r="K47" i="9"/>
  <c r="K48" i="9" s="1"/>
  <c r="D58" i="9"/>
  <c r="E69" i="9" s="1"/>
  <c r="D57" i="9"/>
  <c r="J70" i="9"/>
  <c r="I61" i="9"/>
  <c r="H56" i="9"/>
  <c r="H57" i="9"/>
  <c r="H58" i="9"/>
  <c r="F11" i="9"/>
  <c r="F12" i="9" s="1"/>
  <c r="K27" i="8"/>
  <c r="M27" i="9" s="1"/>
  <c r="M29" i="9" s="1"/>
  <c r="D118" i="12" l="1"/>
  <c r="G108" i="12"/>
  <c r="G106" i="12"/>
  <c r="M48" i="9"/>
  <c r="F75" i="9" s="1"/>
  <c r="M47" i="9"/>
  <c r="K69" i="9"/>
  <c r="D68" i="9" s="1"/>
  <c r="E68" i="9" s="1"/>
  <c r="C78" i="9" s="1"/>
  <c r="D92" i="9" s="1"/>
  <c r="K68" i="9"/>
  <c r="D67" i="9" s="1"/>
  <c r="E67" i="9" s="1"/>
  <c r="K29" i="8"/>
  <c r="C77" i="9"/>
  <c r="C79" i="9"/>
  <c r="D96" i="9" s="1"/>
  <c r="D75" i="9"/>
  <c r="D77" i="9" s="1"/>
  <c r="D61" i="9"/>
  <c r="K45" i="8"/>
  <c r="E45" i="8"/>
  <c r="D119" i="12" l="1"/>
  <c r="D120" i="12" s="1"/>
  <c r="F119" i="13"/>
  <c r="D95" i="9"/>
  <c r="J88" i="9"/>
  <c r="E115" i="9" s="1"/>
  <c r="D78" i="9"/>
  <c r="D79" i="9"/>
  <c r="D91" i="9"/>
  <c r="F20" i="9" s="1"/>
  <c r="E95" i="9"/>
  <c r="E92" i="9"/>
  <c r="D123" i="9"/>
  <c r="E96" i="9"/>
  <c r="D131" i="9"/>
  <c r="J69" i="8"/>
  <c r="J68" i="8"/>
  <c r="D120" i="13" l="1"/>
  <c r="D121" i="13" s="1"/>
  <c r="D132" i="9"/>
  <c r="E91" i="9"/>
  <c r="E93" i="9" s="1"/>
  <c r="K88" i="9"/>
  <c r="J96" i="9"/>
  <c r="J95" i="9"/>
  <c r="J92" i="9"/>
  <c r="J91" i="9"/>
  <c r="F21" i="9" s="1"/>
  <c r="J87" i="9"/>
  <c r="K87" i="9" s="1"/>
  <c r="D133" i="9"/>
  <c r="E70" i="9"/>
  <c r="D88" i="9"/>
  <c r="D115" i="9" s="1"/>
  <c r="D124" i="9"/>
  <c r="D125" i="9" s="1"/>
  <c r="E97" i="9"/>
  <c r="J70" i="8"/>
  <c r="K69" i="8" s="1"/>
  <c r="D68" i="8" s="1"/>
  <c r="M43" i="8"/>
  <c r="G43" i="8"/>
  <c r="M42" i="8"/>
  <c r="G42" i="8"/>
  <c r="M41" i="8"/>
  <c r="G41" i="8"/>
  <c r="M40" i="8"/>
  <c r="G40" i="8"/>
  <c r="M39" i="8"/>
  <c r="G38" i="8"/>
  <c r="G37" i="8"/>
  <c r="L31" i="8"/>
  <c r="N31" i="8" s="1"/>
  <c r="O31" i="8" s="1"/>
  <c r="K32" i="8"/>
  <c r="K47" i="8" s="1"/>
  <c r="K48" i="8" s="1"/>
  <c r="D75" i="8" s="1"/>
  <c r="F31" i="8"/>
  <c r="H31" i="8" s="1"/>
  <c r="I31" i="8" s="1"/>
  <c r="E31" i="8"/>
  <c r="M28" i="8"/>
  <c r="M27" i="8"/>
  <c r="L27" i="8"/>
  <c r="N27" i="8" s="1"/>
  <c r="G61" i="8"/>
  <c r="H61" i="8" s="1"/>
  <c r="C61" i="8"/>
  <c r="E61" i="8" s="1"/>
  <c r="I58" i="8"/>
  <c r="E58" i="8"/>
  <c r="I57" i="8"/>
  <c r="E57" i="8"/>
  <c r="I56" i="8"/>
  <c r="E56" i="8"/>
  <c r="E11" i="8"/>
  <c r="E12" i="8" s="1"/>
  <c r="D11" i="8"/>
  <c r="D12" i="8" s="1"/>
  <c r="F10" i="8"/>
  <c r="F9" i="8"/>
  <c r="E32" i="8" l="1"/>
  <c r="E47" i="8" s="1"/>
  <c r="E48" i="8" s="1"/>
  <c r="C75" i="8" s="1"/>
  <c r="G31" i="9"/>
  <c r="G32" i="9" s="1"/>
  <c r="G47" i="9" s="1"/>
  <c r="G48" i="9" s="1"/>
  <c r="E75" i="9" s="1"/>
  <c r="K89" i="9"/>
  <c r="K92" i="9"/>
  <c r="E123" i="9"/>
  <c r="K95" i="9"/>
  <c r="E132" i="9"/>
  <c r="E116" i="9"/>
  <c r="E117" i="9" s="1"/>
  <c r="K96" i="9"/>
  <c r="E131" i="9"/>
  <c r="E124" i="9"/>
  <c r="K91" i="9"/>
  <c r="F19" i="9"/>
  <c r="E88" i="9"/>
  <c r="G104" i="9" s="1"/>
  <c r="D87" i="9"/>
  <c r="D116" i="9" s="1"/>
  <c r="D117" i="9" s="1"/>
  <c r="D56" i="8"/>
  <c r="K68" i="8"/>
  <c r="D67" i="8" s="1"/>
  <c r="M29" i="8"/>
  <c r="D57" i="8"/>
  <c r="M45" i="8"/>
  <c r="F11" i="8"/>
  <c r="F12" i="8" s="1"/>
  <c r="G45" i="8"/>
  <c r="D58" i="8"/>
  <c r="E69" i="8" s="1"/>
  <c r="F69" i="9" s="1"/>
  <c r="H58" i="8"/>
  <c r="H57" i="8"/>
  <c r="H56" i="8"/>
  <c r="I61" i="8"/>
  <c r="E133" i="9" l="1"/>
  <c r="D134" i="9" s="1"/>
  <c r="H103" i="9"/>
  <c r="H108" i="9" s="1"/>
  <c r="H104" i="9"/>
  <c r="K93" i="9"/>
  <c r="E125" i="9"/>
  <c r="D126" i="9" s="1"/>
  <c r="K97" i="9"/>
  <c r="E87" i="9"/>
  <c r="G103" i="9" s="1"/>
  <c r="G108" i="9" s="1"/>
  <c r="D118" i="9"/>
  <c r="E67" i="8"/>
  <c r="F67" i="9" s="1"/>
  <c r="F70" i="9" s="1"/>
  <c r="D61" i="8"/>
  <c r="E68" i="8"/>
  <c r="F68" i="9" s="1"/>
  <c r="G105" i="9" l="1"/>
  <c r="G106" i="9" s="1"/>
  <c r="E89" i="9"/>
  <c r="H105" i="9"/>
  <c r="H106" i="9" s="1"/>
  <c r="C79" i="8"/>
  <c r="D95" i="8" s="1"/>
  <c r="F95" i="9" s="1"/>
  <c r="H95" i="9" s="1"/>
  <c r="I95" i="9" s="1"/>
  <c r="C78" i="8"/>
  <c r="C77" i="8"/>
  <c r="E70" i="8"/>
  <c r="D91" i="8" l="1"/>
  <c r="F91" i="9" s="1"/>
  <c r="H91" i="9" s="1"/>
  <c r="I91" i="9" s="1"/>
  <c r="D92" i="8"/>
  <c r="F92" i="9" s="1"/>
  <c r="H92" i="9" s="1"/>
  <c r="I92" i="9" s="1"/>
  <c r="D88" i="8"/>
  <c r="D87" i="8"/>
  <c r="F87" i="9" s="1"/>
  <c r="H87" i="9" s="1"/>
  <c r="I87" i="9" s="1"/>
  <c r="E77" i="9"/>
  <c r="E79" i="9"/>
  <c r="F20" i="8"/>
  <c r="E78" i="9"/>
  <c r="E92" i="8"/>
  <c r="G92" i="9" s="1"/>
  <c r="E91" i="8"/>
  <c r="G91" i="9" s="1"/>
  <c r="G93" i="9" s="1"/>
  <c r="D132" i="8"/>
  <c r="F132" i="9" s="1"/>
  <c r="E95" i="8"/>
  <c r="G95" i="9" s="1"/>
  <c r="D96" i="8"/>
  <c r="F96" i="9" s="1"/>
  <c r="H96" i="9" s="1"/>
  <c r="I96" i="9" s="1"/>
  <c r="D116" i="8" l="1"/>
  <c r="F116" i="9" s="1"/>
  <c r="F88" i="9"/>
  <c r="H88" i="9" s="1"/>
  <c r="I88" i="9" s="1"/>
  <c r="D115" i="8"/>
  <c r="F115" i="9" s="1"/>
  <c r="E87" i="8"/>
  <c r="G87" i="9" s="1"/>
  <c r="D124" i="8"/>
  <c r="F124" i="9" s="1"/>
  <c r="E93" i="8"/>
  <c r="D123" i="8"/>
  <c r="F123" i="9" s="1"/>
  <c r="G103" i="8"/>
  <c r="G108" i="8" s="1"/>
  <c r="E88" i="8"/>
  <c r="E96" i="8"/>
  <c r="G96" i="9" s="1"/>
  <c r="G97" i="9" s="1"/>
  <c r="D131" i="8"/>
  <c r="D117" i="8" l="1"/>
  <c r="F117" i="9" s="1"/>
  <c r="D133" i="8"/>
  <c r="F133" i="9" s="1"/>
  <c r="F131" i="9"/>
  <c r="E89" i="8"/>
  <c r="G88" i="9"/>
  <c r="G89" i="9" s="1"/>
  <c r="D125" i="8"/>
  <c r="F125" i="9" s="1"/>
  <c r="E97" i="8"/>
  <c r="G104" i="8"/>
  <c r="G105" i="8" s="1"/>
  <c r="I70" i="7"/>
  <c r="I69" i="7" s="1"/>
  <c r="D70" i="7"/>
  <c r="D69" i="7" s="1"/>
  <c r="L40" i="7"/>
  <c r="M31" i="8" s="1"/>
  <c r="M32" i="8" s="1"/>
  <c r="M47" i="8" s="1"/>
  <c r="G40" i="7"/>
  <c r="G31" i="8" s="1"/>
  <c r="G32" i="8" s="1"/>
  <c r="G47" i="8" s="1"/>
  <c r="L37" i="7"/>
  <c r="I28" i="7"/>
  <c r="D28" i="7"/>
  <c r="I21" i="7"/>
  <c r="D21" i="7"/>
  <c r="I14" i="7"/>
  <c r="D14" i="7"/>
  <c r="I7" i="7"/>
  <c r="J6" i="7" s="1"/>
  <c r="H25" i="7" s="1"/>
  <c r="G7" i="7"/>
  <c r="H6" i="7" s="1"/>
  <c r="C25" i="7" s="1"/>
  <c r="F69" i="8" s="1"/>
  <c r="N5" i="7"/>
  <c r="N6" i="7" s="1"/>
  <c r="L5" i="7"/>
  <c r="L6" i="7" s="1"/>
  <c r="O4" i="7"/>
  <c r="O3" i="7"/>
  <c r="H5" i="7" l="1"/>
  <c r="C18" i="7" s="1"/>
  <c r="F68" i="8" s="1"/>
  <c r="M48" i="8"/>
  <c r="F75" i="8" s="1"/>
  <c r="G48" i="8"/>
  <c r="E75" i="8" s="1"/>
  <c r="D44" i="7"/>
  <c r="I44" i="7"/>
  <c r="G42" i="7"/>
  <c r="C20" i="7" s="1"/>
  <c r="L42" i="7"/>
  <c r="O5" i="7"/>
  <c r="O6" i="7" s="1"/>
  <c r="H4" i="7"/>
  <c r="J5" i="7"/>
  <c r="H18" i="7" s="1"/>
  <c r="J7" i="7"/>
  <c r="J4" i="7"/>
  <c r="H11" i="7" s="1"/>
  <c r="D19" i="7" l="1"/>
  <c r="F91" i="8" s="1"/>
  <c r="D22" i="7"/>
  <c r="H20" i="7"/>
  <c r="I22" i="7" s="1"/>
  <c r="C27" i="7"/>
  <c r="H13" i="7"/>
  <c r="I12" i="7" s="1"/>
  <c r="L87" i="8" s="1"/>
  <c r="G116" i="8" s="1"/>
  <c r="H27" i="7"/>
  <c r="C11" i="7"/>
  <c r="F67" i="8" s="1"/>
  <c r="F70" i="8" s="1"/>
  <c r="H7" i="7"/>
  <c r="I19" i="7"/>
  <c r="L91" i="8" s="1"/>
  <c r="G124" i="8" s="1"/>
  <c r="G20" i="7" l="1"/>
  <c r="G91" i="8" s="1"/>
  <c r="L92" i="8"/>
  <c r="G123" i="8"/>
  <c r="G125" i="8" s="1"/>
  <c r="F92" i="8"/>
  <c r="H92" i="8" s="1"/>
  <c r="I92" i="8" s="1"/>
  <c r="F123" i="8"/>
  <c r="G23" i="7"/>
  <c r="G92" i="8" s="1"/>
  <c r="F124" i="8"/>
  <c r="H91" i="8"/>
  <c r="I91" i="8" s="1"/>
  <c r="I15" i="7"/>
  <c r="L16" i="7" s="1"/>
  <c r="M88" i="8" s="1"/>
  <c r="I26" i="7"/>
  <c r="L95" i="8" s="1"/>
  <c r="G132" i="8" s="1"/>
  <c r="I29" i="7"/>
  <c r="D29" i="7"/>
  <c r="D26" i="7"/>
  <c r="F95" i="8" s="1"/>
  <c r="C13" i="7"/>
  <c r="L20" i="7"/>
  <c r="M91" i="8" s="1"/>
  <c r="M93" i="8" s="1"/>
  <c r="L13" i="7"/>
  <c r="M87" i="8" s="1"/>
  <c r="L23" i="7"/>
  <c r="M92" i="8" s="1"/>
  <c r="C8" i="7"/>
  <c r="M89" i="8" l="1"/>
  <c r="G93" i="8"/>
  <c r="F125" i="8"/>
  <c r="F126" i="8" s="1"/>
  <c r="L96" i="8"/>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F115" i="8" s="1"/>
  <c r="D12" i="7"/>
  <c r="F87" i="8" s="1"/>
  <c r="F88" i="8" l="1"/>
  <c r="H88" i="8" s="1"/>
  <c r="I88" i="8" s="1"/>
  <c r="E78" i="8"/>
  <c r="E24" i="7"/>
  <c r="D24" i="7" s="1"/>
  <c r="F24" i="7"/>
  <c r="G97" i="8"/>
  <c r="K17" i="7"/>
  <c r="F133" i="8"/>
  <c r="F134" i="8" s="1"/>
  <c r="F116" i="8"/>
  <c r="F117" i="8" s="1"/>
  <c r="F118" i="8" s="1"/>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D79" i="8"/>
  <c r="D78" i="8"/>
  <c r="J88" i="8" l="1"/>
  <c r="J87" i="8"/>
  <c r="J92" i="8"/>
  <c r="L92" i="9" s="1"/>
  <c r="N92" i="9" s="1"/>
  <c r="O92" i="9" s="1"/>
  <c r="F78" i="9"/>
  <c r="J96" i="8"/>
  <c r="L96" i="9" s="1"/>
  <c r="N96" i="9" s="1"/>
  <c r="O96" i="9" s="1"/>
  <c r="F79" i="9"/>
  <c r="L88" i="9"/>
  <c r="N88" i="9" s="1"/>
  <c r="O88" i="9" s="1"/>
  <c r="F77" i="9"/>
  <c r="J95" i="8"/>
  <c r="J91" i="8"/>
  <c r="E115" i="8"/>
  <c r="G115" i="9" s="1"/>
  <c r="K96" i="8"/>
  <c r="M96" i="9" s="1"/>
  <c r="N96" i="8"/>
  <c r="O96" i="8" s="1"/>
  <c r="E123" i="8"/>
  <c r="G123" i="9" s="1"/>
  <c r="N87" i="8"/>
  <c r="O87" i="8" s="1"/>
  <c r="N92" i="8" l="1"/>
  <c r="O92" i="8" s="1"/>
  <c r="E131" i="8"/>
  <c r="G131" i="9" s="1"/>
  <c r="F19" i="8"/>
  <c r="L91" i="9"/>
  <c r="N91" i="9" s="1"/>
  <c r="O91" i="9" s="1"/>
  <c r="K92" i="8"/>
  <c r="M92" i="9" s="1"/>
  <c r="K88" i="8"/>
  <c r="M88" i="9" s="1"/>
  <c r="K95" i="8"/>
  <c r="M95" i="9" s="1"/>
  <c r="M97" i="9" s="1"/>
  <c r="L95" i="9"/>
  <c r="N95" i="9" s="1"/>
  <c r="O95" i="9" s="1"/>
  <c r="N88" i="8"/>
  <c r="O88" i="8" s="1"/>
  <c r="E116" i="8"/>
  <c r="G116" i="9" s="1"/>
  <c r="L87" i="9"/>
  <c r="N87" i="9" s="1"/>
  <c r="O87" i="9" s="1"/>
  <c r="K87" i="8"/>
  <c r="N95" i="8"/>
  <c r="O95" i="8" s="1"/>
  <c r="F21" i="8"/>
  <c r="N91" i="8"/>
  <c r="O91" i="8" s="1"/>
  <c r="E132" i="8"/>
  <c r="E124" i="8"/>
  <c r="K91" i="8"/>
  <c r="E117" i="8"/>
  <c r="K97" i="8" l="1"/>
  <c r="H104" i="8"/>
  <c r="E125" i="8"/>
  <c r="G124" i="9"/>
  <c r="E133" i="8"/>
  <c r="G132" i="9"/>
  <c r="K89" i="8"/>
  <c r="M87" i="9"/>
  <c r="M89" i="9" s="1"/>
  <c r="D118" i="8"/>
  <c r="F118" i="9" s="1"/>
  <c r="G117" i="9"/>
  <c r="K93" i="8"/>
  <c r="M91" i="9"/>
  <c r="M93" i="9" s="1"/>
  <c r="D119" i="8"/>
  <c r="D120" i="8" s="1"/>
  <c r="H103" i="8"/>
  <c r="H105" i="8" s="1"/>
  <c r="D120" i="9" l="1"/>
  <c r="D126" i="8"/>
  <c r="G125" i="9"/>
  <c r="D134" i="8"/>
  <c r="G133" i="9"/>
  <c r="H108" i="8"/>
  <c r="D135" i="8" l="1"/>
  <c r="D136" i="8" s="1"/>
  <c r="F134" i="9"/>
  <c r="D135" i="9" s="1"/>
  <c r="D136" i="9" s="1"/>
  <c r="D127" i="8"/>
  <c r="D128" i="8" s="1"/>
  <c r="F126" i="9"/>
  <c r="D127" i="9" l="1"/>
  <c r="D128" i="9" s="1"/>
</calcChain>
</file>

<file path=xl/comments1.xml><?xml version="1.0" encoding="utf-8"?>
<comments xmlns="http://schemas.openxmlformats.org/spreadsheetml/2006/main">
  <authors>
    <author>Josh Arneson</author>
  </authors>
  <commentList>
    <comment ref="I6" authorId="0">
      <text>
        <r>
          <rPr>
            <b/>
            <sz val="9"/>
            <color indexed="81"/>
            <rFont val="Tahoma"/>
            <family val="2"/>
          </rPr>
          <t>Josh Arneson:</t>
        </r>
        <r>
          <rPr>
            <sz val="9"/>
            <color indexed="81"/>
            <rFont val="Tahoma"/>
            <family val="2"/>
          </rPr>
          <t xml:space="preserve">
Assuming 20 employees per unit
</t>
        </r>
      </text>
    </comment>
  </commentList>
</comments>
</file>

<file path=xl/sharedStrings.xml><?xml version="1.0" encoding="utf-8"?>
<sst xmlns="http://schemas.openxmlformats.org/spreadsheetml/2006/main" count="1052" uniqueCount="290">
  <si>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</si>
  <si>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</si>
  <si>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</si>
  <si>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</si>
  <si>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</si>
  <si>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</si>
  <si>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</si>
  <si>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</si>
  <si>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</si>
  <si>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</si>
  <si>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</si>
  <si>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</si>
  <si>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</si>
  <si>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</si>
  <si>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</si>
  <si>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</si>
  <si>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</si>
  <si>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</si>
  <si>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</si>
  <si>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</si>
  <si>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</si>
  <si>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</si>
  <si>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</si>
  <si>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</si>
  <si>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</si>
  <si>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</si>
  <si>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</si>
  <si>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</si>
  <si>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</si>
  <si>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</si>
  <si>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</si>
  <si>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</si>
  <si>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</si>
  <si>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</si>
  <si>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</si>
  <si>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</si>
  <si>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</si>
  <si>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</si>
  <si>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</si>
  <si>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</si>
  <si>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</si>
  <si>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</si>
  <si>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</si>
  <si>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</si>
  <si>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</si>
  <si>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</si>
  <si>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</si>
  <si>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</si>
  <si>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</si>
  <si>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</si>
  <si>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</si>
  <si>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</si>
  <si>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</si>
  <si>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</si>
  <si>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</si>
  <si>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</si>
  <si>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</si>
  <si>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</si>
  <si>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</si>
  <si>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</si>
  <si>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</si>
  <si>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</si>
  <si>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</si>
  <si>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</si>
  <si>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</si>
  <si>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</si>
  <si>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</si>
  <si>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</si>
  <si>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</si>
  <si>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</si>
  <si>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</si>
  <si>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</si>
  <si>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</si>
  <si>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</si>
  <si>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</si>
  <si>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</si>
  <si>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</si>
  <si>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</si>
  <si>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</si>
  <si>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</si>
  <si>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</si>
  <si>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</si>
  <si>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</si>
  <si>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</si>
  <si>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</si>
  <si>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</si>
  <si>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</si>
  <si>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</si>
  <si>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</si>
  <si>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</si>
  <si>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</si>
  <si>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</si>
  <si>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</si>
  <si>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</si>
  <si>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</si>
  <si>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</si>
  <si>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</si>
  <si>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</si>
  <si>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</si>
  <si>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</si>
  <si>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</si>
  <si>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</si>
  <si>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</si>
  <si>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</si>
  <si>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</si>
  <si>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</si>
  <si>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</si>
  <si>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</si>
  <si>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</si>
  <si>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</si>
  <si>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</si>
  <si>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</si>
  <si>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</si>
  <si>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</si>
  <si>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</si>
  <si>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</si>
  <si>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</si>
  <si>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</si>
  <si>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</si>
  <si>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</si>
  <si>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</si>
  <si>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</si>
  <si>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</si>
  <si>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</si>
  <si>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</si>
  <si>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</si>
  <si>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</si>
  <si>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</si>
  <si>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</si>
  <si>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</si>
  <si>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</si>
  <si>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</si>
  <si>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</si>
  <si>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</si>
  <si>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</si>
  <si>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</si>
  <si>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</si>
  <si>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</si>
  <si>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</si>
  <si>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</si>
  <si>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</si>
  <si>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</si>
  <si>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</si>
  <si>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</si>
  <si>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</si>
  <si>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</si>
  <si>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</si>
  <si>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</si>
  <si>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</si>
  <si>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</si>
  <si>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</si>
  <si>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</si>
  <si>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</si>
  <si>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</si>
  <si>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</si>
  <si>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</si>
  <si>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</si>
  <si>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</si>
  <si>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</si>
  <si>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</si>
  <si>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</si>
  <si>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</si>
  <si>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</si>
  <si>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</si>
  <si>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</si>
  <si>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</si>
  <si>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</si>
  <si>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</si>
  <si>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</si>
  <si>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</si>
  <si>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</si>
  <si>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</si>
  <si>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</si>
  <si>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</si>
  <si>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</si>
  <si>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</si>
  <si>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</si>
  <si>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</si>
  <si>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</si>
  <si>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</si>
  <si>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</si>
  <si>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</si>
  <si>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</si>
  <si>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</si>
  <si>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</si>
  <si>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</si>
  <si>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</si>
  <si>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</si>
  <si>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</si>
  <si>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</si>
  <si>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</si>
  <si>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</si>
  <si>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</si>
  <si>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</si>
  <si>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</si>
  <si>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</si>
  <si>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</si>
  <si>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</si>
  <si>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Rate Sheet approved by Water and Sewer Commission on May 21, 2019</t>
  </si>
  <si>
    <t>FY21</t>
  </si>
  <si>
    <t>Total Change FY20/FY21</t>
  </si>
  <si>
    <t>Percent Change FY20/FY21</t>
  </si>
  <si>
    <t>Adjusted FY21</t>
  </si>
  <si>
    <t xml:space="preserve">FY20 </t>
  </si>
  <si>
    <t>Change FY20 to FY21</t>
  </si>
  <si>
    <t>Green Box is a manual entry number</t>
  </si>
  <si>
    <t xml:space="preserve">School </t>
  </si>
  <si>
    <t>Double Check to ensure the revenue raised by fees equals budgeted revenue goal (field should equal zero)</t>
  </si>
  <si>
    <t>Percent of Capital Budget that is covered by revenue rasied by fixed fees</t>
  </si>
  <si>
    <t>FY19 FINAL RATES</t>
  </si>
  <si>
    <t xml:space="preserve"> Revenue</t>
  </si>
  <si>
    <t>Bard Hill, Chair</t>
  </si>
  <si>
    <t>Fran Huntoon</t>
  </si>
  <si>
    <t>David Sander</t>
  </si>
  <si>
    <t>Don Morin</t>
  </si>
  <si>
    <t>Katie Mather</t>
  </si>
  <si>
    <t>Signed by Richmond Water and Sewer Commission on this 19th day of May, 2020.</t>
  </si>
  <si>
    <t xml:space="preserve">FY2022 Water and Sewer Rate Sheet </t>
  </si>
  <si>
    <t>Billed 4/1/21 - 3/31/22</t>
  </si>
  <si>
    <t>FY22</t>
  </si>
  <si>
    <t>Total Change FY21/FY22</t>
  </si>
  <si>
    <t>Percent Change FY21/FY22</t>
  </si>
  <si>
    <t>Change FY21 to FY22</t>
  </si>
  <si>
    <t>Signed by Richmond Water and Sewer Commission on this 18th day of May, 2021.</t>
  </si>
  <si>
    <t>Adjusted FY22</t>
  </si>
  <si>
    <t>Using Usage from 4/1/19 - 3/31/20</t>
  </si>
  <si>
    <t>Cody Quattrocci</t>
  </si>
  <si>
    <t>FY22 GATE</t>
  </si>
  <si>
    <t>Change FY22 to FY22 GATE</t>
  </si>
  <si>
    <t xml:space="preserve">FY22 </t>
  </si>
  <si>
    <t>Phase 1</t>
  </si>
  <si>
    <t>Phase 2</t>
  </si>
  <si>
    <t>Phase 3</t>
  </si>
  <si>
    <t>Employees</t>
  </si>
  <si>
    <t>840 W. Main</t>
  </si>
  <si>
    <t>Commercial</t>
  </si>
  <si>
    <t>gpd/staff</t>
  </si>
  <si>
    <t>Avg. Daily Flow</t>
  </si>
  <si>
    <t>Avg. Annual Flow</t>
  </si>
  <si>
    <t>878 W. Main</t>
  </si>
  <si>
    <t>920 W. Main</t>
  </si>
  <si>
    <t>932 W. Main</t>
  </si>
  <si>
    <t>978 W. Main</t>
  </si>
  <si>
    <t>1010-1014 W. Main</t>
  </si>
  <si>
    <t>1009 - 1012 W. Main</t>
  </si>
  <si>
    <t>1108 W. Main</t>
  </si>
  <si>
    <t>1151 W. Main</t>
  </si>
  <si>
    <t>1070 W. Main</t>
  </si>
  <si>
    <t xml:space="preserve">1151 W. Main </t>
  </si>
  <si>
    <t>User Type</t>
  </si>
  <si>
    <t>Office Bld.</t>
  </si>
  <si>
    <t>Single Family Home</t>
  </si>
  <si>
    <t>Tow Business</t>
  </si>
  <si>
    <t>Single Family Home / Home Business</t>
  </si>
  <si>
    <t>Duplex</t>
  </si>
  <si>
    <t>Office Building</t>
  </si>
  <si>
    <t>Residence</t>
  </si>
  <si>
    <t>Quantity</t>
  </si>
  <si>
    <t>Dog Day Care - Employees</t>
  </si>
  <si>
    <t>Dog Day Care - Kennels</t>
  </si>
  <si>
    <t>Dog Day Care - Grooming Station</t>
  </si>
  <si>
    <t>Chiropractor - staff</t>
  </si>
  <si>
    <t>Chiropractor - patients</t>
  </si>
  <si>
    <t>gpd/unit</t>
  </si>
  <si>
    <t>Incl Above</t>
  </si>
  <si>
    <t>gpd/kennel</t>
  </si>
  <si>
    <t>gpd/station</t>
  </si>
  <si>
    <t>gpd/patient</t>
  </si>
  <si>
    <t>1436 W. Main</t>
  </si>
  <si>
    <t>9 Gov. Peck</t>
  </si>
  <si>
    <t>116 River Rd.</t>
  </si>
  <si>
    <t>Rte. 117</t>
  </si>
  <si>
    <t>Commercial Gas Station</t>
  </si>
  <si>
    <t>Commercial Fuel</t>
  </si>
  <si>
    <t>Mobil Home Park</t>
  </si>
  <si>
    <t>1st Pump Set</t>
  </si>
  <si>
    <t>Additional Pump Sets</t>
  </si>
  <si>
    <t>Mobile Homes</t>
  </si>
  <si>
    <t>gpd/Pump</t>
  </si>
  <si>
    <t>gpd/MHP</t>
  </si>
  <si>
    <t>Total Residential</t>
  </si>
  <si>
    <t>Total Commercial</t>
  </si>
  <si>
    <t xml:space="preserve">Sample FY2022 Water and Sewer Rates with Gateway Expansion Complete </t>
  </si>
  <si>
    <t>Fixed Rate Billed As</t>
  </si>
  <si>
    <t>Metered Rate Billed As</t>
  </si>
  <si>
    <t>Estimated Usage Based on Existing Conditions in Gateway</t>
  </si>
  <si>
    <t>Buildings with one meter for Commercial &amp; Residential uses,  uses Commercial rate for metered rates, and is assessed category specific fixed rates.</t>
  </si>
  <si>
    <t>Use Description</t>
  </si>
  <si>
    <t>Using the FY22 Budget for both the FY22 rates and the FY22 GATE (FY22 GATE rates includes the estimated gallons used and units expected with Gateway sewer expansion</t>
  </si>
  <si>
    <t>Data from March 20, 2017 Preliminary Engineering Report, Table 9, Page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</si>
</sst>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30">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
      <b/>
      <sz val="26"/>
      <color rgb="FF000000"/>
      <name val="Calibri"/>
      <family val="2"/>
      <scheme val="minor"/>
    </font>
    <font>
      <b/>
      <sz val="26"/>
      <name val="Liberation Sans"/>
    </font>
    <font>
      <sz val="14"/>
      <color rgb="FF000000"/>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408">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5" borderId="1" xfId="0" applyFont="1" applyFill="1" applyBorder="1"/>
    <xf numFmtId="0" fontId="19" fillId="5" borderId="11" xfId="0" applyFont="1" applyFill="1" applyBorder="1"/>
    <xf numFmtId="172" fontId="19" fillId="5" borderId="1" xfId="0" applyNumberFormat="1" applyFont="1" applyFill="1" applyBorder="1"/>
    <xf numFmtId="0" fontId="19" fillId="5" borderId="3" xfId="0" applyFont="1" applyFill="1" applyBorder="1"/>
    <xf numFmtId="0" fontId="19" fillId="5"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5"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5" borderId="3" xfId="0" applyFont="1" applyFill="1" applyBorder="1" applyAlignment="1">
      <alignment horizontal="center"/>
    </xf>
    <xf numFmtId="171" fontId="19" fillId="5" borderId="11" xfId="0" applyNumberFormat="1" applyFont="1" applyFill="1" applyBorder="1"/>
    <xf numFmtId="171" fontId="19" fillId="0" borderId="10" xfId="0" applyNumberFormat="1" applyFont="1" applyBorder="1" applyAlignment="1">
      <alignment horizontal="center"/>
    </xf>
    <xf numFmtId="0" fontId="19" fillId="5"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5"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5"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5"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5" borderId="10" xfId="0" applyFont="1" applyFill="1" applyBorder="1"/>
    <xf numFmtId="172" fontId="19" fillId="5" borderId="10" xfId="0" applyNumberFormat="1" applyFont="1" applyFill="1" applyBorder="1"/>
    <xf numFmtId="172" fontId="19" fillId="5"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5" borderId="10" xfId="0" applyNumberFormat="1" applyFont="1" applyFill="1" applyBorder="1"/>
    <xf numFmtId="10" fontId="19" fillId="5"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5" borderId="0" xfId="0" applyFont="1" applyFill="1"/>
    <xf numFmtId="0" fontId="19" fillId="5" borderId="0" xfId="0" applyFont="1" applyFill="1"/>
    <xf numFmtId="172" fontId="19" fillId="5" borderId="0" xfId="0" applyNumberFormat="1" applyFont="1" applyFill="1"/>
    <xf numFmtId="172" fontId="19" fillId="5" borderId="0" xfId="0" applyNumberFormat="1" applyFont="1" applyFill="1" applyBorder="1" applyAlignment="1">
      <alignment horizontal="center"/>
    </xf>
    <xf numFmtId="172" fontId="19" fillId="5"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5" borderId="10" xfId="0" applyNumberFormat="1" applyFont="1" applyFill="1" applyBorder="1"/>
    <xf numFmtId="171" fontId="20" fillId="5"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72" fontId="19" fillId="6" borderId="0" xfId="0" applyNumberFormat="1" applyFont="1" applyFill="1" applyBorder="1" applyAlignment="1">
      <alignment horizontal="center"/>
    </xf>
    <xf numFmtId="167" fontId="19" fillId="6" borderId="10" xfId="0" applyNumberFormat="1" applyFont="1" applyFill="1" applyBorder="1" applyAlignment="1">
      <alignment horizontal="center"/>
    </xf>
    <xf numFmtId="167" fontId="21" fillId="6" borderId="10" xfId="0" applyNumberFormat="1" applyFont="1" applyFill="1" applyBorder="1" applyAlignment="1">
      <alignment horizontal="center"/>
    </xf>
    <xf numFmtId="172" fontId="19" fillId="6" borderId="5" xfId="0" applyNumberFormat="1" applyFont="1" applyFill="1" applyBorder="1"/>
    <xf numFmtId="172" fontId="19" fillId="6" borderId="2" xfId="0" applyNumberFormat="1" applyFont="1" applyFill="1" applyBorder="1"/>
    <xf numFmtId="0" fontId="19" fillId="6" borderId="2" xfId="0" applyFont="1" applyFill="1" applyBorder="1"/>
    <xf numFmtId="172" fontId="19" fillId="6" borderId="3" xfId="0" applyNumberFormat="1" applyFont="1" applyFill="1" applyBorder="1"/>
    <xf numFmtId="171" fontId="20" fillId="6" borderId="25" xfId="0" applyNumberFormat="1" applyFont="1" applyFill="1" applyBorder="1"/>
    <xf numFmtId="171" fontId="20" fillId="6" borderId="10" xfId="0" applyNumberFormat="1" applyFont="1" applyFill="1" applyBorder="1"/>
    <xf numFmtId="0" fontId="19" fillId="6" borderId="0" xfId="0" applyFont="1" applyFill="1"/>
    <xf numFmtId="167" fontId="19" fillId="6" borderId="2" xfId="0" applyNumberFormat="1" applyFont="1" applyFill="1" applyBorder="1"/>
    <xf numFmtId="37" fontId="19" fillId="6" borderId="2" xfId="0" applyNumberFormat="1" applyFont="1" applyFill="1" applyBorder="1"/>
    <xf numFmtId="172" fontId="19" fillId="6" borderId="10" xfId="0" applyNumberFormat="1" applyFont="1" applyFill="1" applyBorder="1"/>
    <xf numFmtId="0" fontId="25" fillId="0" borderId="0" xfId="0" applyFont="1" applyFill="1" applyAlignment="1"/>
    <xf numFmtId="0" fontId="26" fillId="0" borderId="0" xfId="0" applyFont="1" applyFill="1"/>
    <xf numFmtId="0" fontId="27" fillId="0" borderId="1" xfId="0" applyFont="1" applyBorder="1"/>
    <xf numFmtId="0" fontId="27" fillId="0" borderId="0" xfId="0" applyFont="1"/>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172" fontId="19" fillId="0" borderId="0" xfId="0" applyNumberFormat="1" applyFont="1" applyFill="1" applyBorder="1" applyAlignment="1">
      <alignment horizontal="center"/>
    </xf>
    <xf numFmtId="6" fontId="19" fillId="0" borderId="2" xfId="0" applyNumberFormat="1" applyFont="1" applyBorder="1" applyAlignment="1"/>
    <xf numFmtId="0" fontId="20" fillId="0" borderId="0" xfId="0" applyFont="1" applyFill="1"/>
    <xf numFmtId="0" fontId="20" fillId="0" borderId="12" xfId="0" applyFont="1" applyFill="1" applyBorder="1"/>
    <xf numFmtId="0" fontId="19" fillId="0" borderId="10" xfId="0" applyFont="1" applyFill="1" applyBorder="1"/>
    <xf numFmtId="0" fontId="20" fillId="0" borderId="10" xfId="0" applyFont="1" applyFill="1" applyBorder="1"/>
    <xf numFmtId="0" fontId="20" fillId="2" borderId="0" xfId="0" applyFont="1" applyFill="1"/>
    <xf numFmtId="0" fontId="19" fillId="2" borderId="0" xfId="0" applyFont="1" applyFill="1"/>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3" fontId="19" fillId="0" borderId="0" xfId="0" applyNumberFormat="1" applyFont="1"/>
    <xf numFmtId="0" fontId="19" fillId="7" borderId="0" xfId="0" applyFont="1" applyFill="1"/>
    <xf numFmtId="3" fontId="20" fillId="0" borderId="0" xfId="0" applyNumberFormat="1" applyFont="1"/>
    <xf numFmtId="3" fontId="19" fillId="5" borderId="0" xfId="0" applyNumberFormat="1" applyFont="1" applyFill="1"/>
    <xf numFmtId="3" fontId="19" fillId="7" borderId="0" xfId="0" applyNumberFormat="1" applyFont="1" applyFill="1"/>
    <xf numFmtId="3" fontId="19" fillId="0" borderId="0" xfId="0" applyNumberFormat="1" applyFont="1" applyFill="1"/>
    <xf numFmtId="0" fontId="20" fillId="8" borderId="0" xfId="0" applyFont="1" applyFill="1"/>
    <xf numFmtId="3" fontId="20" fillId="8" borderId="0" xfId="0" applyNumberFormat="1" applyFont="1" applyFill="1"/>
    <xf numFmtId="167" fontId="19" fillId="0" borderId="0" xfId="0" applyNumberFormat="1" applyFont="1" applyFill="1" applyBorder="1" applyAlignment="1">
      <alignment horizontal="center"/>
    </xf>
    <xf numFmtId="0" fontId="19" fillId="0" borderId="0" xfId="0" applyFont="1" applyFill="1" applyBorder="1"/>
    <xf numFmtId="167" fontId="21" fillId="0" borderId="0" xfId="0" applyNumberFormat="1" applyFont="1" applyFill="1" applyBorder="1" applyAlignment="1">
      <alignment horizontal="center"/>
    </xf>
    <xf numFmtId="0" fontId="20" fillId="0" borderId="0" xfId="0" applyFont="1" applyAlignment="1">
      <alignment horizontal="center" wrapText="1"/>
    </xf>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20" fillId="0" borderId="9"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20" fillId="0" borderId="4" xfId="0" applyFont="1" applyBorder="1" applyAlignment="1">
      <alignment horizontal="center"/>
    </xf>
    <xf numFmtId="0" fontId="20" fillId="0" borderId="24" xfId="0" applyFont="1" applyBorder="1" applyAlignment="1">
      <alignment horizontal="center"/>
    </xf>
    <xf numFmtId="0" fontId="20" fillId="0" borderId="2" xfId="0" applyFont="1" applyBorder="1" applyAlignment="1">
      <alignment horizontal="center"/>
    </xf>
    <xf numFmtId="0" fontId="20" fillId="0" borderId="23"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19" fillId="5" borderId="10" xfId="0" applyFont="1" applyFill="1" applyBorder="1" applyAlignment="1">
      <alignment horizontal="center"/>
    </xf>
    <xf numFmtId="0" fontId="19" fillId="5" borderId="0" xfId="0" applyFont="1" applyFill="1" applyBorder="1" applyAlignment="1">
      <alignment horizontal="center"/>
    </xf>
    <xf numFmtId="0" fontId="20" fillId="0" borderId="12"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wrapText="1"/>
    </xf>
    <xf numFmtId="0" fontId="20" fillId="0" borderId="10" xfId="0" applyFont="1" applyBorder="1" applyAlignment="1">
      <alignment horizontal="left" wrapText="1"/>
    </xf>
    <xf numFmtId="0" fontId="20" fillId="0" borderId="0" xfId="0" applyFont="1" applyBorder="1" applyAlignment="1">
      <alignment horizontal="left" wrapText="1"/>
    </xf>
    <xf numFmtId="0" fontId="20" fillId="0" borderId="2" xfId="0" applyFont="1" applyBorder="1" applyAlignment="1">
      <alignment horizontal="left" wrapText="1"/>
    </xf>
    <xf numFmtId="0" fontId="20" fillId="0" borderId="11" xfId="0" applyFont="1" applyBorder="1" applyAlignment="1">
      <alignment horizontal="left" wrapText="1"/>
    </xf>
    <xf numFmtId="0" fontId="20" fillId="0" borderId="1" xfId="0" applyFont="1" applyBorder="1" applyAlignment="1">
      <alignment horizontal="left" wrapText="1"/>
    </xf>
    <xf numFmtId="0" fontId="20" fillId="0" borderId="3" xfId="0" applyFont="1" applyBorder="1" applyAlignment="1">
      <alignment horizontal="left" wrapText="1"/>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7"/>
  <sheetViews>
    <sheetView tabSelected="1" view="pageBreakPreview" topLeftCell="A113" zoomScaleNormal="100" zoomScaleSheetLayoutView="100" workbookViewId="0">
      <selection activeCell="G57" sqref="G57"/>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23" ht="33.75">
      <c r="A1" s="332" t="s">
        <v>282</v>
      </c>
      <c r="B1" s="189"/>
      <c r="C1" s="189"/>
      <c r="D1" s="189"/>
      <c r="Q1" s="164"/>
      <c r="R1" s="164"/>
      <c r="S1" s="164"/>
      <c r="T1" s="164"/>
      <c r="U1" s="164"/>
      <c r="V1" s="164"/>
      <c r="W1" s="164"/>
    </row>
    <row r="2" spans="1:23">
      <c r="A2" s="166"/>
      <c r="Q2" s="164"/>
      <c r="R2" s="164"/>
      <c r="S2" s="164"/>
      <c r="T2" s="164"/>
      <c r="U2" s="164"/>
      <c r="V2" s="164"/>
      <c r="W2" s="164"/>
    </row>
    <row r="3" spans="1:23">
      <c r="A3" s="347" t="s">
        <v>205</v>
      </c>
      <c r="B3" s="166"/>
      <c r="C3" s="166"/>
      <c r="Q3" s="164"/>
      <c r="R3" s="164"/>
      <c r="S3" s="164"/>
      <c r="T3" s="164"/>
      <c r="U3" s="164"/>
      <c r="V3" s="164"/>
      <c r="W3" s="164"/>
    </row>
    <row r="4" spans="1:23">
      <c r="A4" s="347" t="s">
        <v>225</v>
      </c>
      <c r="B4" s="347"/>
      <c r="C4" s="166"/>
      <c r="Q4" s="164"/>
      <c r="R4" s="164"/>
      <c r="S4" s="164"/>
      <c r="T4" s="164"/>
      <c r="U4" s="164"/>
      <c r="V4" s="164"/>
      <c r="W4" s="164"/>
    </row>
    <row r="5" spans="1:23">
      <c r="A5" s="347" t="s">
        <v>288</v>
      </c>
      <c r="B5" s="166"/>
      <c r="C5" s="166"/>
      <c r="Q5" s="164"/>
      <c r="R5" s="164"/>
      <c r="S5" s="164"/>
      <c r="T5" s="164"/>
      <c r="U5" s="164"/>
      <c r="V5" s="164"/>
      <c r="W5" s="164"/>
    </row>
    <row r="6" spans="1:23">
      <c r="A6" s="347"/>
      <c r="B6" s="166"/>
      <c r="C6" s="166"/>
      <c r="Q6" s="164"/>
      <c r="R6" s="164"/>
      <c r="S6" s="164"/>
      <c r="T6" s="164"/>
      <c r="U6" s="164"/>
      <c r="V6" s="164"/>
      <c r="W6" s="164"/>
    </row>
    <row r="7" spans="1:23" ht="23.25">
      <c r="A7" s="294" t="s">
        <v>131</v>
      </c>
      <c r="B7" s="170"/>
      <c r="C7" s="170"/>
      <c r="D7" s="170"/>
      <c r="E7" s="170"/>
      <c r="F7" s="170"/>
      <c r="G7" s="170"/>
      <c r="Q7" s="164"/>
      <c r="R7" s="164"/>
      <c r="S7" s="164"/>
      <c r="T7" s="164"/>
      <c r="U7" s="164"/>
      <c r="V7" s="164"/>
      <c r="W7" s="164"/>
    </row>
    <row r="8" spans="1:23" ht="23.25">
      <c r="A8" s="293"/>
      <c r="B8" s="170"/>
      <c r="C8" s="170"/>
      <c r="D8" s="170"/>
      <c r="E8" s="170"/>
      <c r="F8" s="170"/>
      <c r="G8" s="170"/>
      <c r="Q8" s="164"/>
      <c r="R8" s="164"/>
      <c r="S8" s="164"/>
      <c r="T8" s="164"/>
      <c r="U8" s="164"/>
      <c r="V8" s="164"/>
      <c r="W8" s="164"/>
    </row>
    <row r="9" spans="1:23">
      <c r="A9" s="180"/>
      <c r="B9" s="169"/>
      <c r="C9" s="169"/>
      <c r="D9" s="357" t="s">
        <v>2</v>
      </c>
      <c r="E9" s="357" t="s">
        <v>26</v>
      </c>
      <c r="F9" s="356" t="s">
        <v>136</v>
      </c>
      <c r="Q9" s="164"/>
      <c r="R9" s="164"/>
      <c r="S9" s="164"/>
      <c r="T9" s="164"/>
      <c r="U9" s="164"/>
      <c r="V9" s="164"/>
      <c r="W9" s="164"/>
    </row>
    <row r="10" spans="1:23">
      <c r="A10" s="393" t="s">
        <v>219</v>
      </c>
      <c r="B10" s="394"/>
      <c r="C10" s="170"/>
      <c r="D10" s="345">
        <v>379492</v>
      </c>
      <c r="E10" s="178">
        <v>789537</v>
      </c>
      <c r="F10" s="179">
        <f>D10+E10</f>
        <v>1169029</v>
      </c>
      <c r="Q10" s="164"/>
      <c r="R10" s="164"/>
      <c r="S10" s="164"/>
      <c r="T10" s="164"/>
      <c r="U10" s="164"/>
      <c r="V10" s="164"/>
      <c r="W10" s="164"/>
    </row>
    <row r="11" spans="1:23">
      <c r="A11" s="395" t="s">
        <v>227</v>
      </c>
      <c r="B11" s="396"/>
      <c r="C11" s="232"/>
      <c r="D11" s="319">
        <v>379492</v>
      </c>
      <c r="E11" s="319">
        <v>789537</v>
      </c>
      <c r="F11" s="292">
        <f>D11+E11</f>
        <v>1169029</v>
      </c>
      <c r="Q11" s="164"/>
      <c r="R11" s="164"/>
      <c r="S11" s="164"/>
      <c r="T11" s="164"/>
      <c r="U11" s="164"/>
      <c r="V11" s="164"/>
      <c r="W11" s="164"/>
    </row>
    <row r="12" spans="1:23">
      <c r="A12" s="190" t="s">
        <v>220</v>
      </c>
      <c r="B12" s="191"/>
      <c r="C12" s="170"/>
      <c r="D12" s="178">
        <f>D11-D10</f>
        <v>0</v>
      </c>
      <c r="E12" s="178">
        <f>E11-E10</f>
        <v>0</v>
      </c>
      <c r="F12" s="179">
        <f>D12+E12</f>
        <v>0</v>
      </c>
      <c r="Q12" s="164"/>
      <c r="R12" s="164"/>
      <c r="S12" s="164"/>
      <c r="T12" s="164"/>
      <c r="U12" s="164"/>
      <c r="V12" s="164"/>
      <c r="W12" s="164"/>
    </row>
    <row r="13" spans="1:23">
      <c r="A13" s="192" t="s">
        <v>221</v>
      </c>
      <c r="B13" s="193"/>
      <c r="C13" s="186"/>
      <c r="D13" s="175">
        <f>D12/D10</f>
        <v>0</v>
      </c>
      <c r="E13" s="175">
        <f>E12/E10</f>
        <v>0</v>
      </c>
      <c r="F13" s="176">
        <f>F12/F10</f>
        <v>0</v>
      </c>
      <c r="Q13" s="164"/>
      <c r="R13" s="164"/>
      <c r="S13" s="164"/>
      <c r="T13" s="164"/>
      <c r="U13" s="164"/>
      <c r="V13" s="164"/>
      <c r="W13" s="164"/>
    </row>
    <row r="14" spans="1:23">
      <c r="Q14" s="164"/>
      <c r="R14" s="164"/>
      <c r="S14" s="164"/>
      <c r="T14" s="164"/>
      <c r="U14" s="164"/>
      <c r="V14" s="164"/>
      <c r="W14" s="164"/>
    </row>
    <row r="15" spans="1:23" ht="23.25">
      <c r="A15" s="295" t="s">
        <v>193</v>
      </c>
      <c r="Q15" s="164"/>
      <c r="R15" s="164"/>
      <c r="S15" s="164"/>
      <c r="T15" s="164"/>
      <c r="U15" s="164"/>
      <c r="V15" s="164"/>
      <c r="W15" s="164"/>
    </row>
    <row r="16" spans="1:23" ht="23.25">
      <c r="A16" s="272"/>
      <c r="J16" s="274"/>
      <c r="Q16" s="164"/>
      <c r="R16" s="164"/>
      <c r="S16" s="164"/>
      <c r="T16" s="164"/>
      <c r="U16" s="164"/>
      <c r="V16" s="164"/>
      <c r="W16" s="164"/>
    </row>
    <row r="17" spans="1:23" ht="18.75">
      <c r="A17" s="287" t="s">
        <v>188</v>
      </c>
      <c r="N17" s="165"/>
      <c r="P17" s="164"/>
      <c r="Q17" s="164"/>
      <c r="R17" s="164"/>
      <c r="S17" s="164"/>
      <c r="T17" s="164"/>
      <c r="U17" s="164"/>
      <c r="V17" s="164"/>
      <c r="W17" s="164"/>
    </row>
    <row r="18" spans="1:23" ht="18.75">
      <c r="A18" s="287"/>
      <c r="N18" s="165"/>
      <c r="P18" s="164"/>
      <c r="Q18" s="164"/>
      <c r="R18" s="164"/>
      <c r="S18" s="164"/>
      <c r="T18" s="164"/>
      <c r="U18" s="164"/>
      <c r="V18" s="164"/>
      <c r="W18" s="164"/>
    </row>
    <row r="19" spans="1:23">
      <c r="A19" s="286" t="s">
        <v>194</v>
      </c>
      <c r="B19" s="307"/>
      <c r="C19" s="307"/>
      <c r="D19" s="308"/>
      <c r="N19" s="165"/>
      <c r="P19" s="164"/>
      <c r="Q19" s="164"/>
      <c r="R19" s="164"/>
      <c r="S19" s="164"/>
      <c r="T19" s="164"/>
      <c r="U19" s="164"/>
      <c r="V19" s="164"/>
      <c r="W19" s="164"/>
    </row>
    <row r="20" spans="1:23">
      <c r="A20" s="180" t="s">
        <v>197</v>
      </c>
      <c r="B20" s="169"/>
      <c r="C20" s="169"/>
      <c r="D20" s="169"/>
      <c r="E20" s="169"/>
      <c r="F20" s="306">
        <f>SUM(J92)*1.15</f>
        <v>426.8251467601674</v>
      </c>
      <c r="N20" s="165"/>
      <c r="P20" s="164"/>
      <c r="Q20" s="164"/>
      <c r="R20" s="164"/>
      <c r="S20" s="164"/>
      <c r="T20" s="164"/>
      <c r="U20" s="164"/>
      <c r="V20" s="164"/>
      <c r="W20" s="164"/>
    </row>
    <row r="21" spans="1:23">
      <c r="A21" s="171" t="s">
        <v>195</v>
      </c>
      <c r="B21" s="170"/>
      <c r="C21" s="170"/>
      <c r="D21" s="170"/>
      <c r="E21" s="170"/>
      <c r="F21" s="200">
        <f>SUM(D92)*0.5</f>
        <v>318.3089711830799</v>
      </c>
      <c r="N21" s="165"/>
      <c r="P21" s="164"/>
      <c r="Q21" s="164"/>
      <c r="R21" s="164"/>
      <c r="S21" s="164"/>
      <c r="T21" s="164"/>
      <c r="U21" s="164"/>
      <c r="V21" s="164"/>
      <c r="W21" s="164"/>
    </row>
    <row r="22" spans="1:23">
      <c r="A22" s="174" t="s">
        <v>196</v>
      </c>
      <c r="B22" s="186"/>
      <c r="C22" s="186"/>
      <c r="D22" s="186"/>
      <c r="E22" s="186"/>
      <c r="F22" s="201">
        <f>SUM(J92)*0.5</f>
        <v>185.57615076529018</v>
      </c>
      <c r="N22" s="165"/>
      <c r="P22" s="164"/>
      <c r="Q22" s="164"/>
      <c r="R22" s="164"/>
      <c r="S22" s="164"/>
      <c r="T22" s="164"/>
      <c r="U22" s="164"/>
      <c r="V22" s="164"/>
      <c r="W22" s="164"/>
    </row>
    <row r="23" spans="1:23">
      <c r="N23" s="165"/>
      <c r="P23" s="164"/>
      <c r="Q23" s="164"/>
      <c r="R23" s="164"/>
      <c r="S23" s="164"/>
      <c r="T23" s="164"/>
      <c r="U23" s="164"/>
      <c r="V23" s="164"/>
      <c r="W23" s="164"/>
    </row>
    <row r="24" spans="1:23">
      <c r="A24" s="347"/>
      <c r="D24" s="382" t="s">
        <v>2</v>
      </c>
      <c r="E24" s="383"/>
      <c r="F24" s="383"/>
      <c r="G24" s="383"/>
      <c r="H24" s="383"/>
      <c r="I24" s="383"/>
      <c r="J24" s="392" t="s">
        <v>26</v>
      </c>
      <c r="K24" s="383"/>
      <c r="L24" s="383"/>
      <c r="M24" s="383"/>
      <c r="N24" s="383"/>
      <c r="O24" s="384"/>
      <c r="P24" s="164"/>
      <c r="Q24" s="164"/>
      <c r="R24" s="164"/>
      <c r="S24" s="164"/>
      <c r="T24" s="164"/>
      <c r="U24" s="164"/>
      <c r="V24" s="164"/>
      <c r="W24" s="164"/>
    </row>
    <row r="25" spans="1:23">
      <c r="A25" s="347"/>
      <c r="D25" s="378" t="s">
        <v>227</v>
      </c>
      <c r="E25" s="379"/>
      <c r="F25" s="378" t="s">
        <v>219</v>
      </c>
      <c r="G25" s="379"/>
      <c r="H25" s="378" t="s">
        <v>228</v>
      </c>
      <c r="I25" s="389"/>
      <c r="J25" s="390" t="s">
        <v>227</v>
      </c>
      <c r="K25" s="379"/>
      <c r="L25" s="378" t="s">
        <v>219</v>
      </c>
      <c r="M25" s="379"/>
      <c r="N25" s="378" t="s">
        <v>228</v>
      </c>
      <c r="O25" s="379"/>
      <c r="P25" s="164"/>
      <c r="Q25" s="164"/>
      <c r="R25" s="164"/>
      <c r="S25" s="164"/>
      <c r="T25" s="164"/>
      <c r="U25" s="164"/>
      <c r="V25" s="164"/>
      <c r="W25" s="164"/>
    </row>
    <row r="26" spans="1:23" ht="30">
      <c r="A26" s="347"/>
      <c r="D26" s="235" t="s">
        <v>145</v>
      </c>
      <c r="E26" s="181" t="s">
        <v>151</v>
      </c>
      <c r="F26" s="235" t="s">
        <v>145</v>
      </c>
      <c r="G26" s="181" t="s">
        <v>151</v>
      </c>
      <c r="H26" s="235" t="s">
        <v>154</v>
      </c>
      <c r="I26" s="221" t="s">
        <v>155</v>
      </c>
      <c r="J26" s="249" t="s">
        <v>145</v>
      </c>
      <c r="K26" s="181" t="s">
        <v>151</v>
      </c>
      <c r="L26" s="235" t="s">
        <v>145</v>
      </c>
      <c r="M26" s="181" t="s">
        <v>151</v>
      </c>
      <c r="N26" s="235" t="s">
        <v>154</v>
      </c>
      <c r="O26" s="222" t="s">
        <v>155</v>
      </c>
      <c r="P26" s="164"/>
      <c r="Q26" s="164"/>
      <c r="R26" s="164"/>
      <c r="S26" s="164"/>
      <c r="T26" s="164"/>
      <c r="U26" s="164"/>
      <c r="V26" s="164"/>
      <c r="W26" s="164"/>
    </row>
    <row r="27" spans="1:23">
      <c r="A27" s="348" t="s">
        <v>14</v>
      </c>
      <c r="B27" s="169"/>
      <c r="C27" s="169"/>
      <c r="D27" s="180"/>
      <c r="E27" s="177"/>
      <c r="F27" s="180"/>
      <c r="G27" s="177"/>
      <c r="H27" s="180"/>
      <c r="I27" s="169"/>
      <c r="J27" s="253"/>
      <c r="K27" s="177"/>
      <c r="L27" s="180"/>
      <c r="M27" s="177"/>
      <c r="N27" s="353"/>
      <c r="O27" s="355"/>
      <c r="Q27" s="164"/>
      <c r="R27" s="164"/>
      <c r="S27" s="164"/>
      <c r="T27" s="164"/>
      <c r="U27" s="164"/>
      <c r="V27" s="164"/>
      <c r="W27" s="164"/>
    </row>
    <row r="28" spans="1:23">
      <c r="A28" s="349"/>
      <c r="B28" s="170" t="s">
        <v>145</v>
      </c>
      <c r="C28" s="170"/>
      <c r="D28" s="171"/>
      <c r="E28" s="181"/>
      <c r="F28" s="171"/>
      <c r="G28" s="181"/>
      <c r="H28" s="171"/>
      <c r="I28" s="170"/>
      <c r="J28" s="326">
        <v>426.84</v>
      </c>
      <c r="K28" s="234">
        <f>SUM(J60*J28)</f>
        <v>426.84</v>
      </c>
      <c r="L28" s="216">
        <f>SUM('FY22 Final'!J27)</f>
        <v>546.25</v>
      </c>
      <c r="M28" s="234">
        <f>SUM('FY22 Final'!K27)</f>
        <v>546.25</v>
      </c>
      <c r="N28" s="244">
        <f>SUM(J28-L28)</f>
        <v>-119.41000000000003</v>
      </c>
      <c r="O28" s="240">
        <f>SUM(N28/L28)</f>
        <v>-0.21859954233409615</v>
      </c>
      <c r="P28" s="164"/>
      <c r="Q28" s="164"/>
      <c r="R28" s="164"/>
      <c r="S28" s="164"/>
      <c r="T28" s="164"/>
      <c r="U28" s="164"/>
      <c r="V28" s="164"/>
      <c r="W28" s="164"/>
    </row>
    <row r="29" spans="1:23">
      <c r="A29" s="349"/>
      <c r="B29" s="170" t="s">
        <v>158</v>
      </c>
      <c r="C29" s="170"/>
      <c r="D29" s="171"/>
      <c r="E29" s="181"/>
      <c r="F29" s="171"/>
      <c r="G29" s="181"/>
      <c r="H29" s="171"/>
      <c r="I29" s="170"/>
      <c r="J29" s="254"/>
      <c r="K29" s="234">
        <f>SUM(K30-K28)</f>
        <v>6273.16</v>
      </c>
      <c r="L29" s="216"/>
      <c r="M29" s="234">
        <f>SUM('FY22 Final'!K28)</f>
        <v>6153.75</v>
      </c>
      <c r="N29" s="360"/>
      <c r="O29" s="184"/>
      <c r="P29" s="164"/>
      <c r="Q29" s="164"/>
      <c r="R29" s="164"/>
      <c r="S29" s="164"/>
      <c r="T29" s="164"/>
      <c r="U29" s="164"/>
      <c r="V29" s="164"/>
      <c r="W29" s="164"/>
    </row>
    <row r="30" spans="1:23">
      <c r="A30" s="298"/>
      <c r="B30" s="228" t="s">
        <v>160</v>
      </c>
      <c r="C30" s="228"/>
      <c r="D30" s="229"/>
      <c r="E30" s="231"/>
      <c r="F30" s="229"/>
      <c r="G30" s="231"/>
      <c r="H30" s="229"/>
      <c r="I30" s="228"/>
      <c r="J30" s="252"/>
      <c r="K30" s="325">
        <v>6700</v>
      </c>
      <c r="L30" s="243"/>
      <c r="M30" s="238">
        <f>SUM(M28:M29)</f>
        <v>6700</v>
      </c>
      <c r="N30" s="245"/>
      <c r="O30" s="242"/>
      <c r="P30" s="164"/>
      <c r="Q30" s="164"/>
      <c r="R30" s="164"/>
      <c r="S30" s="164"/>
      <c r="T30" s="164"/>
      <c r="U30" s="164"/>
      <c r="V30" s="164"/>
      <c r="W30" s="164"/>
    </row>
    <row r="31" spans="1:23">
      <c r="A31" s="350" t="s">
        <v>159</v>
      </c>
      <c r="B31" s="170"/>
      <c r="C31" s="170"/>
      <c r="D31" s="171"/>
      <c r="E31" s="273"/>
      <c r="F31" s="171"/>
      <c r="G31" s="181"/>
      <c r="H31" s="171"/>
      <c r="I31" s="170"/>
      <c r="J31" s="254"/>
      <c r="K31" s="234"/>
      <c r="L31" s="171"/>
      <c r="M31" s="234"/>
      <c r="N31" s="360"/>
      <c r="O31" s="184"/>
      <c r="P31" s="164"/>
      <c r="Q31" s="164"/>
      <c r="R31" s="164"/>
      <c r="S31" s="164"/>
      <c r="T31" s="164"/>
      <c r="U31" s="164"/>
      <c r="V31" s="164"/>
      <c r="W31" s="164"/>
    </row>
    <row r="32" spans="1:23">
      <c r="A32" s="349"/>
      <c r="B32" s="170" t="s">
        <v>145</v>
      </c>
      <c r="C32" s="170"/>
      <c r="D32" s="327">
        <v>318.31</v>
      </c>
      <c r="E32" s="234">
        <f>SUM(D32*F61)</f>
        <v>1273.24</v>
      </c>
      <c r="F32" s="216">
        <f>SUM('FY22 Final'!D31)</f>
        <v>318.31</v>
      </c>
      <c r="G32" s="234">
        <f>SUM('FY22 Final'!E31)</f>
        <v>1273.24</v>
      </c>
      <c r="H32" s="216">
        <f>SUM(D32-F32)</f>
        <v>0</v>
      </c>
      <c r="I32" s="182">
        <f>SUM(H32/F32)</f>
        <v>0</v>
      </c>
      <c r="J32" s="326">
        <v>185.58</v>
      </c>
      <c r="K32" s="234">
        <f>SUM(J32*J61)</f>
        <v>556.74</v>
      </c>
      <c r="L32" s="216">
        <f>SUM('FY22 Final'!J31)</f>
        <v>237.52</v>
      </c>
      <c r="M32" s="234">
        <f>SUM('FY22 Final'!K31)</f>
        <v>712.56000000000006</v>
      </c>
      <c r="N32" s="244">
        <f>SUM(J32-L32)</f>
        <v>-51.94</v>
      </c>
      <c r="O32" s="240">
        <f>SUM(N32/L32)</f>
        <v>-0.21867632199393733</v>
      </c>
      <c r="P32" s="164"/>
      <c r="Q32" s="164"/>
      <c r="R32" s="164"/>
      <c r="S32" s="164"/>
      <c r="T32" s="164"/>
      <c r="U32" s="164"/>
      <c r="V32" s="164"/>
      <c r="W32" s="164"/>
    </row>
    <row r="33" spans="1:23">
      <c r="A33" s="298"/>
      <c r="B33" s="228" t="s">
        <v>160</v>
      </c>
      <c r="C33" s="228"/>
      <c r="D33" s="229"/>
      <c r="E33" s="238">
        <f>SUM(E32)</f>
        <v>1273.24</v>
      </c>
      <c r="F33" s="243"/>
      <c r="G33" s="238">
        <f>SUM(G32)</f>
        <v>1273.24</v>
      </c>
      <c r="H33" s="229"/>
      <c r="I33" s="228"/>
      <c r="J33" s="252"/>
      <c r="K33" s="238">
        <f>SUM(K32)</f>
        <v>556.74</v>
      </c>
      <c r="L33" s="243"/>
      <c r="M33" s="238">
        <f>SUM(M32)</f>
        <v>712.56000000000006</v>
      </c>
      <c r="N33" s="245"/>
      <c r="O33" s="242"/>
      <c r="P33" s="164"/>
      <c r="Q33" s="164"/>
      <c r="R33" s="164"/>
      <c r="S33" s="164"/>
      <c r="T33" s="164"/>
      <c r="U33" s="164"/>
      <c r="V33" s="164"/>
      <c r="W33" s="164"/>
    </row>
    <row r="34" spans="1:23">
      <c r="D34" s="274"/>
      <c r="E34" s="188"/>
      <c r="G34" s="188"/>
      <c r="K34" s="188"/>
      <c r="M34" s="188"/>
      <c r="N34" s="165"/>
      <c r="P34" s="164"/>
      <c r="Q34" s="164"/>
      <c r="R34" s="164"/>
      <c r="S34" s="164"/>
      <c r="T34" s="164"/>
      <c r="U34" s="164"/>
      <c r="V34" s="164"/>
      <c r="W34" s="164"/>
    </row>
    <row r="35" spans="1:23" ht="18.75">
      <c r="A35" s="287" t="s">
        <v>179</v>
      </c>
      <c r="D35" s="382" t="s">
        <v>2</v>
      </c>
      <c r="E35" s="383"/>
      <c r="F35" s="383"/>
      <c r="G35" s="383"/>
      <c r="H35" s="383"/>
      <c r="I35" s="383"/>
      <c r="J35" s="392" t="s">
        <v>26</v>
      </c>
      <c r="K35" s="383"/>
      <c r="L35" s="383"/>
      <c r="M35" s="383"/>
      <c r="N35" s="383"/>
      <c r="O35" s="384"/>
      <c r="P35" s="164"/>
      <c r="Q35" s="164"/>
      <c r="R35" s="164"/>
      <c r="S35" s="164"/>
      <c r="T35" s="164"/>
      <c r="U35" s="164"/>
      <c r="V35" s="164"/>
      <c r="W35" s="164"/>
    </row>
    <row r="36" spans="1:23">
      <c r="B36" s="170"/>
      <c r="C36" s="170"/>
      <c r="D36" s="378" t="s">
        <v>227</v>
      </c>
      <c r="E36" s="379"/>
      <c r="F36" s="378" t="s">
        <v>219</v>
      </c>
      <c r="G36" s="379"/>
      <c r="H36" s="210"/>
      <c r="I36" s="211"/>
      <c r="J36" s="390" t="s">
        <v>227</v>
      </c>
      <c r="K36" s="379"/>
      <c r="L36" s="378" t="s">
        <v>219</v>
      </c>
      <c r="M36" s="379"/>
      <c r="N36" s="361"/>
      <c r="O36" s="184"/>
      <c r="P36" s="164"/>
      <c r="Q36" s="164"/>
      <c r="R36" s="164"/>
      <c r="S36" s="164"/>
      <c r="T36" s="164"/>
      <c r="U36" s="164"/>
      <c r="V36" s="164"/>
      <c r="W36" s="164"/>
    </row>
    <row r="37" spans="1:23">
      <c r="B37" s="170"/>
      <c r="C37" s="170"/>
      <c r="D37" s="171"/>
      <c r="E37" s="181" t="s">
        <v>151</v>
      </c>
      <c r="F37" s="171"/>
      <c r="G37" s="181" t="s">
        <v>151</v>
      </c>
      <c r="H37" s="221"/>
      <c r="I37" s="221"/>
      <c r="J37" s="254"/>
      <c r="K37" s="181" t="s">
        <v>151</v>
      </c>
      <c r="L37" s="171"/>
      <c r="M37" s="181" t="s">
        <v>151</v>
      </c>
      <c r="N37" s="361"/>
      <c r="O37" s="184"/>
      <c r="P37" s="164"/>
      <c r="Q37" s="164"/>
      <c r="R37" s="164"/>
      <c r="S37" s="164"/>
      <c r="T37" s="164"/>
      <c r="U37" s="164"/>
      <c r="V37" s="164"/>
      <c r="W37" s="164"/>
    </row>
    <row r="38" spans="1:23">
      <c r="A38" s="180"/>
      <c r="B38" s="169" t="s">
        <v>161</v>
      </c>
      <c r="C38" s="169"/>
      <c r="D38" s="180"/>
      <c r="E38" s="322">
        <v>1500</v>
      </c>
      <c r="F38" s="180"/>
      <c r="G38" s="247">
        <v>1500</v>
      </c>
      <c r="H38" s="246"/>
      <c r="I38" s="185"/>
      <c r="J38" s="253"/>
      <c r="K38" s="322"/>
      <c r="L38" s="180"/>
      <c r="M38" s="247"/>
      <c r="N38" s="361"/>
      <c r="O38" s="184"/>
      <c r="P38" s="164"/>
      <c r="Q38" s="164"/>
      <c r="R38" s="164"/>
      <c r="S38" s="164"/>
      <c r="T38" s="164"/>
      <c r="U38" s="164"/>
      <c r="V38" s="164"/>
      <c r="W38" s="164"/>
    </row>
    <row r="39" spans="1:23">
      <c r="A39" s="171"/>
      <c r="B39" s="170" t="s">
        <v>162</v>
      </c>
      <c r="C39" s="170"/>
      <c r="D39" s="171"/>
      <c r="E39" s="323">
        <v>50432</v>
      </c>
      <c r="F39" s="217"/>
      <c r="G39" s="346">
        <v>50432</v>
      </c>
      <c r="H39" s="215"/>
      <c r="I39" s="182"/>
      <c r="J39" s="254"/>
      <c r="K39" s="323"/>
      <c r="L39" s="171"/>
      <c r="M39" s="234"/>
      <c r="N39" s="361"/>
      <c r="O39" s="184"/>
      <c r="P39" s="164"/>
      <c r="Q39" s="164"/>
      <c r="R39" s="164"/>
      <c r="S39" s="164"/>
      <c r="T39" s="164"/>
      <c r="U39" s="164"/>
      <c r="V39" s="164"/>
      <c r="W39" s="164"/>
    </row>
    <row r="40" spans="1:23">
      <c r="A40" s="171"/>
      <c r="B40" s="170" t="s">
        <v>180</v>
      </c>
      <c r="C40" s="170"/>
      <c r="D40" s="171"/>
      <c r="E40" s="324"/>
      <c r="F40" s="171"/>
      <c r="G40" s="181"/>
      <c r="H40" s="215"/>
      <c r="I40" s="182"/>
      <c r="J40" s="254"/>
      <c r="K40" s="323">
        <v>430000</v>
      </c>
      <c r="L40" s="171"/>
      <c r="M40" s="234">
        <v>430000</v>
      </c>
      <c r="N40" s="361"/>
      <c r="O40" s="184"/>
      <c r="P40" s="164"/>
      <c r="Q40" s="164"/>
      <c r="R40" s="164"/>
      <c r="S40" s="164"/>
      <c r="T40" s="164"/>
      <c r="U40" s="164"/>
      <c r="V40" s="164"/>
      <c r="W40" s="164"/>
    </row>
    <row r="41" spans="1:23">
      <c r="A41" s="171"/>
      <c r="B41" s="170" t="s">
        <v>181</v>
      </c>
      <c r="C41" s="170"/>
      <c r="D41" s="171"/>
      <c r="E41" s="323"/>
      <c r="F41" s="233"/>
      <c r="G41" s="234">
        <v>0</v>
      </c>
      <c r="H41" s="215"/>
      <c r="I41" s="182"/>
      <c r="J41" s="255"/>
      <c r="K41" s="323"/>
      <c r="L41" s="233"/>
      <c r="M41" s="234">
        <v>0</v>
      </c>
      <c r="N41" s="361"/>
      <c r="O41" s="184"/>
      <c r="P41" s="164"/>
      <c r="Q41" s="164"/>
      <c r="R41" s="164"/>
      <c r="S41" s="164"/>
      <c r="T41" s="164"/>
      <c r="U41" s="164"/>
      <c r="V41" s="164"/>
      <c r="W41" s="164"/>
    </row>
    <row r="42" spans="1:23">
      <c r="A42" s="171"/>
      <c r="B42" s="170" t="s">
        <v>163</v>
      </c>
      <c r="C42" s="170"/>
      <c r="D42" s="171"/>
      <c r="E42" s="323">
        <v>500</v>
      </c>
      <c r="F42" s="233"/>
      <c r="G42" s="234">
        <v>500</v>
      </c>
      <c r="H42" s="215"/>
      <c r="I42" s="182"/>
      <c r="J42" s="255"/>
      <c r="K42" s="323">
        <v>1000</v>
      </c>
      <c r="L42" s="233"/>
      <c r="M42" s="234">
        <v>1000</v>
      </c>
      <c r="N42" s="361"/>
      <c r="O42" s="184"/>
      <c r="P42" s="164"/>
      <c r="Q42" s="164"/>
      <c r="R42" s="164"/>
      <c r="S42" s="164"/>
      <c r="T42" s="164"/>
      <c r="U42" s="164"/>
      <c r="V42" s="164"/>
      <c r="W42" s="164"/>
    </row>
    <row r="43" spans="1:23">
      <c r="A43" s="171"/>
      <c r="B43" s="170" t="s">
        <v>182</v>
      </c>
      <c r="C43" s="170"/>
      <c r="D43" s="171"/>
      <c r="E43" s="323"/>
      <c r="F43" s="233"/>
      <c r="G43" s="234">
        <v>0</v>
      </c>
      <c r="H43" s="215"/>
      <c r="I43" s="182"/>
      <c r="J43" s="255"/>
      <c r="K43" s="323"/>
      <c r="L43" s="233"/>
      <c r="M43" s="234">
        <v>0</v>
      </c>
      <c r="N43" s="361"/>
      <c r="O43" s="184"/>
      <c r="P43" s="164"/>
      <c r="Q43" s="164"/>
      <c r="R43" s="164"/>
      <c r="S43" s="164"/>
      <c r="T43" s="164"/>
      <c r="U43" s="164"/>
      <c r="V43" s="164"/>
      <c r="W43" s="164"/>
    </row>
    <row r="44" spans="1:23">
      <c r="A44" s="171"/>
      <c r="B44" s="170" t="s">
        <v>164</v>
      </c>
      <c r="C44" s="170"/>
      <c r="D44" s="171"/>
      <c r="E44" s="323">
        <v>500</v>
      </c>
      <c r="F44" s="233"/>
      <c r="G44" s="234">
        <v>500</v>
      </c>
      <c r="H44" s="215"/>
      <c r="I44" s="182"/>
      <c r="J44" s="255"/>
      <c r="K44" s="323">
        <v>1200</v>
      </c>
      <c r="L44" s="233"/>
      <c r="M44" s="234">
        <v>1200</v>
      </c>
      <c r="N44" s="361"/>
      <c r="O44" s="184"/>
      <c r="P44" s="164"/>
      <c r="Q44" s="164"/>
      <c r="R44" s="164"/>
      <c r="S44" s="164"/>
      <c r="T44" s="164"/>
      <c r="U44" s="164"/>
      <c r="V44" s="164"/>
      <c r="W44" s="164"/>
    </row>
    <row r="45" spans="1:23">
      <c r="A45" s="171"/>
      <c r="B45" s="170"/>
      <c r="C45" s="170"/>
      <c r="D45" s="171"/>
      <c r="E45" s="324"/>
      <c r="F45" s="171"/>
      <c r="G45" s="181"/>
      <c r="H45" s="170"/>
      <c r="I45" s="170"/>
      <c r="J45" s="254"/>
      <c r="K45" s="324"/>
      <c r="L45" s="171"/>
      <c r="M45" s="181"/>
      <c r="N45" s="361"/>
      <c r="O45" s="184"/>
      <c r="P45" s="164"/>
      <c r="Q45" s="164"/>
      <c r="R45" s="164"/>
      <c r="S45" s="164"/>
      <c r="T45" s="164"/>
      <c r="U45" s="164"/>
      <c r="V45" s="164"/>
      <c r="W45" s="164"/>
    </row>
    <row r="46" spans="1:23">
      <c r="A46" s="174"/>
      <c r="B46" s="228" t="s">
        <v>165</v>
      </c>
      <c r="C46" s="228"/>
      <c r="D46" s="229"/>
      <c r="E46" s="238">
        <f>SUM(E38:E44)</f>
        <v>52932</v>
      </c>
      <c r="F46" s="248"/>
      <c r="G46" s="238">
        <f>SUM(G38:G44)</f>
        <v>52932</v>
      </c>
      <c r="H46" s="230"/>
      <c r="I46" s="230"/>
      <c r="J46" s="256"/>
      <c r="K46" s="238">
        <f>SUM(K38:K44)</f>
        <v>432200</v>
      </c>
      <c r="L46" s="248"/>
      <c r="M46" s="238">
        <f>SUM(M38:M44)</f>
        <v>432200</v>
      </c>
      <c r="N46" s="257"/>
      <c r="O46" s="258"/>
      <c r="P46" s="164"/>
      <c r="Q46" s="164"/>
      <c r="R46" s="164"/>
      <c r="S46" s="164"/>
      <c r="T46" s="164"/>
      <c r="U46" s="164"/>
      <c r="V46" s="164"/>
      <c r="W46" s="164"/>
    </row>
    <row r="48" spans="1:23">
      <c r="A48" s="288" t="s">
        <v>189</v>
      </c>
      <c r="B48" s="289"/>
      <c r="C48" s="289"/>
      <c r="D48" s="289"/>
      <c r="E48" s="290">
        <f>SUM(E30+E33+E46)</f>
        <v>54205.24</v>
      </c>
      <c r="F48" s="290"/>
      <c r="G48" s="290">
        <f>SUM(G30+G33+G46)</f>
        <v>54205.24</v>
      </c>
      <c r="H48" s="290"/>
      <c r="I48" s="290"/>
      <c r="J48" s="290"/>
      <c r="K48" s="290">
        <f>SUM(K30+K33+K46)</f>
        <v>439456.74</v>
      </c>
      <c r="L48" s="290"/>
      <c r="M48" s="290">
        <f>SUM(M30+M33+M46)</f>
        <v>439612.56</v>
      </c>
      <c r="Q48" s="164"/>
      <c r="R48" s="164"/>
      <c r="S48" s="164"/>
      <c r="T48" s="164"/>
      <c r="U48" s="164"/>
      <c r="V48" s="164"/>
      <c r="W48" s="164"/>
    </row>
    <row r="49" spans="1:23">
      <c r="A49" s="288" t="s">
        <v>190</v>
      </c>
      <c r="B49" s="289"/>
      <c r="C49" s="289"/>
      <c r="D49" s="289"/>
      <c r="E49" s="290">
        <f>SUM(D11-E48)</f>
        <v>325286.76</v>
      </c>
      <c r="F49" s="289"/>
      <c r="G49" s="290">
        <f>SUM(D10-G48)</f>
        <v>325286.76</v>
      </c>
      <c r="H49" s="289"/>
      <c r="I49" s="289"/>
      <c r="J49" s="289"/>
      <c r="K49" s="290">
        <f>SUM(E11-K48)</f>
        <v>350080.26</v>
      </c>
      <c r="L49" s="289"/>
      <c r="M49" s="290">
        <f>SUM(E10-M48)</f>
        <v>349924.44</v>
      </c>
      <c r="Q49" s="164"/>
      <c r="R49" s="164"/>
      <c r="S49" s="164"/>
      <c r="T49" s="164"/>
      <c r="U49" s="164"/>
      <c r="V49" s="164"/>
      <c r="W49" s="164"/>
    </row>
    <row r="51" spans="1:23" ht="23.25">
      <c r="A51" s="295" t="s">
        <v>192</v>
      </c>
      <c r="O51" s="164"/>
      <c r="P51" s="164"/>
      <c r="Q51" s="164"/>
      <c r="R51" s="164"/>
      <c r="S51" s="164"/>
      <c r="T51" s="164"/>
      <c r="U51" s="164"/>
      <c r="V51" s="164"/>
      <c r="W51" s="164"/>
    </row>
    <row r="52" spans="1:23">
      <c r="A52" s="191"/>
      <c r="B52" s="191"/>
      <c r="C52" s="170"/>
      <c r="D52" s="172"/>
      <c r="E52" s="172"/>
      <c r="F52" s="172"/>
      <c r="G52" s="172"/>
      <c r="O52" s="164"/>
      <c r="P52" s="164"/>
      <c r="Q52" s="164"/>
      <c r="R52" s="164"/>
      <c r="S52" s="164"/>
      <c r="T52" s="164"/>
      <c r="U52" s="164"/>
      <c r="V52" s="164"/>
      <c r="W52" s="164"/>
    </row>
    <row r="53" spans="1:23">
      <c r="A53" s="194" t="s">
        <v>139</v>
      </c>
      <c r="B53" s="170"/>
      <c r="C53" s="170"/>
      <c r="D53" s="170"/>
      <c r="E53" s="170"/>
      <c r="F53" s="170"/>
      <c r="O53" s="164"/>
      <c r="P53" s="164"/>
      <c r="Q53" s="164"/>
      <c r="R53" s="164"/>
      <c r="S53" s="164"/>
      <c r="T53" s="164"/>
      <c r="U53" s="164"/>
      <c r="V53" s="164"/>
      <c r="W53" s="164"/>
    </row>
    <row r="54" spans="1:23">
      <c r="A54" s="194"/>
      <c r="B54" s="170"/>
      <c r="C54" s="382" t="s">
        <v>2</v>
      </c>
      <c r="D54" s="383"/>
      <c r="E54" s="383"/>
      <c r="F54" s="384"/>
      <c r="G54" s="382" t="s">
        <v>26</v>
      </c>
      <c r="H54" s="383"/>
      <c r="I54" s="383"/>
      <c r="J54" s="384"/>
      <c r="O54" s="164"/>
      <c r="P54" s="164"/>
      <c r="Q54" s="164"/>
      <c r="R54" s="164"/>
      <c r="S54" s="164"/>
      <c r="T54" s="164"/>
      <c r="U54" s="164"/>
      <c r="V54" s="164"/>
      <c r="W54" s="164"/>
    </row>
    <row r="55" spans="1:23" ht="60">
      <c r="A55" s="180"/>
      <c r="B55" s="169"/>
      <c r="C55" s="385"/>
      <c r="D55" s="386"/>
      <c r="E55" s="204" t="s">
        <v>172</v>
      </c>
      <c r="F55" s="181"/>
      <c r="G55" s="210"/>
      <c r="H55" s="211"/>
      <c r="I55" s="204" t="s">
        <v>172</v>
      </c>
      <c r="J55" s="181"/>
      <c r="O55" s="164"/>
      <c r="P55" s="164"/>
      <c r="Q55" s="164"/>
      <c r="R55" s="164"/>
      <c r="S55" s="164"/>
      <c r="T55" s="164"/>
      <c r="U55" s="164"/>
      <c r="V55" s="164"/>
      <c r="W55" s="164"/>
    </row>
    <row r="56" spans="1:23">
      <c r="A56" s="171"/>
      <c r="B56" s="170"/>
      <c r="C56" s="359" t="s">
        <v>140</v>
      </c>
      <c r="D56" s="358" t="s">
        <v>141</v>
      </c>
      <c r="E56" s="220">
        <v>0.98</v>
      </c>
      <c r="F56" s="205" t="s">
        <v>148</v>
      </c>
      <c r="G56" s="359" t="s">
        <v>140</v>
      </c>
      <c r="H56" s="358" t="s">
        <v>141</v>
      </c>
      <c r="I56" s="220">
        <v>0.98</v>
      </c>
      <c r="J56" s="219" t="s">
        <v>148</v>
      </c>
      <c r="O56" s="164"/>
      <c r="P56" s="164"/>
      <c r="Q56" s="164"/>
      <c r="R56" s="164"/>
      <c r="S56" s="164"/>
      <c r="T56" s="164"/>
      <c r="U56" s="164"/>
      <c r="V56" s="164"/>
      <c r="W56" s="164"/>
    </row>
    <row r="57" spans="1:23">
      <c r="A57" s="171" t="s">
        <v>43</v>
      </c>
      <c r="B57" s="170"/>
      <c r="C57" s="320">
        <v>9124300</v>
      </c>
      <c r="D57" s="172">
        <f>C57/C$62</f>
        <v>0.55508374042597197</v>
      </c>
      <c r="E57" s="202">
        <f>SUM(C57*$E$56)</f>
        <v>8941814</v>
      </c>
      <c r="F57" s="329">
        <v>426</v>
      </c>
      <c r="G57" s="320">
        <f>SUM('FY22 Final'!G56+'Estimated Usage'!H32)</f>
        <v>16984640</v>
      </c>
      <c r="H57" s="172">
        <f>G57/G$62</f>
        <v>0.74239358271613409</v>
      </c>
      <c r="I57" s="202">
        <f>SUM(G57*$E$56)</f>
        <v>16644947.199999999</v>
      </c>
      <c r="J57" s="324">
        <f>SUM('FY22 Final'!J56+'Estimated Usage'!I32)</f>
        <v>580</v>
      </c>
      <c r="L57" s="370"/>
      <c r="M57" s="371"/>
      <c r="O57" s="164"/>
      <c r="P57" s="164"/>
      <c r="Q57" s="164"/>
      <c r="R57" s="164"/>
      <c r="S57" s="164"/>
      <c r="T57" s="164"/>
      <c r="U57" s="164"/>
      <c r="V57" s="164"/>
      <c r="W57" s="164"/>
    </row>
    <row r="58" spans="1:23">
      <c r="A58" s="387" t="s">
        <v>132</v>
      </c>
      <c r="B58" s="388"/>
      <c r="C58" s="320">
        <v>6452800</v>
      </c>
      <c r="D58" s="173">
        <f>C58/C$62</f>
        <v>0.39256100306003883</v>
      </c>
      <c r="E58" s="202">
        <f>SUM(C58*$E$56)</f>
        <v>6323744</v>
      </c>
      <c r="F58" s="329">
        <v>76</v>
      </c>
      <c r="G58" s="321">
        <f>SUM('FY22 Final'!G57+'Estimated Usage'!H33)</f>
        <v>5032975</v>
      </c>
      <c r="H58" s="173">
        <f>G58/G$62</f>
        <v>0.21998984623581866</v>
      </c>
      <c r="I58" s="202">
        <f>SUM(G58*$E$56)</f>
        <v>4932315.5</v>
      </c>
      <c r="J58" s="324">
        <f>SUM('FY22 Final'!J57+'Estimated Usage'!I33)</f>
        <v>83</v>
      </c>
      <c r="L58" s="372"/>
      <c r="M58" s="371"/>
      <c r="O58" s="164"/>
      <c r="P58" s="164"/>
      <c r="Q58" s="164"/>
      <c r="R58" s="164"/>
      <c r="S58" s="164"/>
      <c r="T58" s="164"/>
      <c r="U58" s="164"/>
      <c r="V58" s="164"/>
      <c r="W58" s="164"/>
    </row>
    <row r="59" spans="1:23">
      <c r="A59" s="171" t="s">
        <v>133</v>
      </c>
      <c r="B59" s="170"/>
      <c r="C59" s="320">
        <v>860600</v>
      </c>
      <c r="D59" s="172">
        <f>C59/C$62</f>
        <v>5.235525651398918E-2</v>
      </c>
      <c r="E59" s="202">
        <f>SUM(C59*$E$56)</f>
        <v>843388</v>
      </c>
      <c r="F59" s="329">
        <v>3</v>
      </c>
      <c r="G59" s="320">
        <v>860600</v>
      </c>
      <c r="H59" s="172">
        <f>G59/G$62</f>
        <v>3.7616571048047234E-2</v>
      </c>
      <c r="I59" s="202">
        <f>SUM(G59*$E$56)</f>
        <v>843388</v>
      </c>
      <c r="J59" s="324">
        <v>3</v>
      </c>
      <c r="L59" s="370"/>
      <c r="M59" s="371"/>
      <c r="O59" s="164"/>
      <c r="P59" s="164"/>
      <c r="Q59" s="164"/>
      <c r="R59" s="164"/>
      <c r="S59" s="164"/>
      <c r="T59" s="164"/>
      <c r="U59" s="164"/>
      <c r="V59" s="164"/>
      <c r="W59" s="164"/>
    </row>
    <row r="60" spans="1:23">
      <c r="A60" s="171" t="s">
        <v>14</v>
      </c>
      <c r="B60" s="170"/>
      <c r="C60" s="206"/>
      <c r="D60" s="172"/>
      <c r="E60" s="202"/>
      <c r="F60" s="330">
        <v>0</v>
      </c>
      <c r="G60" s="212"/>
      <c r="H60" s="172"/>
      <c r="I60" s="202"/>
      <c r="J60" s="324">
        <v>1</v>
      </c>
      <c r="O60" s="164"/>
      <c r="P60" s="164"/>
      <c r="Q60" s="164"/>
      <c r="R60" s="164"/>
      <c r="S60" s="164"/>
      <c r="T60" s="164"/>
      <c r="U60" s="164"/>
      <c r="V60" s="164"/>
      <c r="W60" s="164"/>
    </row>
    <row r="61" spans="1:23">
      <c r="A61" s="171" t="s">
        <v>159</v>
      </c>
      <c r="B61" s="170"/>
      <c r="C61" s="206"/>
      <c r="D61" s="172"/>
      <c r="E61" s="202"/>
      <c r="F61" s="329">
        <v>4</v>
      </c>
      <c r="G61" s="212"/>
      <c r="H61" s="172"/>
      <c r="I61" s="202"/>
      <c r="J61" s="324">
        <v>3</v>
      </c>
      <c r="O61" s="164"/>
      <c r="P61" s="164"/>
      <c r="Q61" s="164"/>
      <c r="R61" s="164"/>
      <c r="S61" s="164"/>
      <c r="T61" s="164"/>
      <c r="U61" s="164"/>
      <c r="V61" s="164"/>
      <c r="W61" s="164"/>
    </row>
    <row r="62" spans="1:23">
      <c r="A62" s="174" t="s">
        <v>41</v>
      </c>
      <c r="B62" s="186"/>
      <c r="C62" s="208">
        <f>SUM(C57:C59)</f>
        <v>16437700</v>
      </c>
      <c r="D62" s="175">
        <f>SUM(D57:D59)</f>
        <v>1</v>
      </c>
      <c r="E62" s="203">
        <f>SUM(C62*$E$56)</f>
        <v>16108946</v>
      </c>
      <c r="F62" s="209"/>
      <c r="G62" s="208">
        <f>SUM(G57:G59)</f>
        <v>22878215</v>
      </c>
      <c r="H62" s="175">
        <f>G62/G$62</f>
        <v>1</v>
      </c>
      <c r="I62" s="203">
        <f>SUM(G62*$E$56)</f>
        <v>22420650.699999999</v>
      </c>
      <c r="J62" s="214"/>
      <c r="O62" s="164"/>
      <c r="P62" s="164"/>
      <c r="Q62" s="164"/>
      <c r="R62" s="164"/>
      <c r="S62" s="164"/>
      <c r="T62" s="164"/>
      <c r="U62" s="164"/>
      <c r="V62" s="164"/>
      <c r="W62" s="164"/>
    </row>
    <row r="65" spans="1:23">
      <c r="A65" s="167" t="s">
        <v>157</v>
      </c>
      <c r="H65" s="167" t="s">
        <v>183</v>
      </c>
      <c r="I65" s="167"/>
      <c r="J65" s="167"/>
      <c r="K65" s="167"/>
      <c r="L65" s="167"/>
      <c r="O65" s="164"/>
      <c r="P65" s="164"/>
      <c r="Q65" s="164"/>
      <c r="R65" s="164"/>
      <c r="S65" s="164"/>
      <c r="T65" s="164"/>
      <c r="U65" s="164"/>
      <c r="V65" s="164"/>
      <c r="W65" s="164"/>
    </row>
    <row r="66" spans="1:23">
      <c r="A66" s="167"/>
      <c r="C66" s="378" t="s">
        <v>2</v>
      </c>
      <c r="D66" s="389"/>
      <c r="E66" s="389"/>
      <c r="F66" s="379"/>
      <c r="H66" s="167" t="s">
        <v>184</v>
      </c>
      <c r="I66" s="167"/>
      <c r="J66" s="167"/>
      <c r="K66" s="167"/>
      <c r="L66" s="167"/>
      <c r="O66" s="164"/>
      <c r="P66" s="164"/>
      <c r="Q66" s="164"/>
      <c r="R66" s="164"/>
      <c r="S66" s="164"/>
      <c r="T66" s="164"/>
      <c r="U66" s="164"/>
      <c r="V66" s="164"/>
      <c r="W66" s="164"/>
    </row>
    <row r="67" spans="1:23">
      <c r="A67" s="180"/>
      <c r="B67" s="169"/>
      <c r="C67" s="169"/>
      <c r="D67" s="169" t="s">
        <v>156</v>
      </c>
      <c r="E67" s="169" t="s">
        <v>224</v>
      </c>
      <c r="F67" s="177" t="s">
        <v>202</v>
      </c>
      <c r="H67" s="167" t="s">
        <v>185</v>
      </c>
      <c r="I67" s="167"/>
      <c r="J67" s="167"/>
      <c r="K67" s="167"/>
      <c r="L67" s="167"/>
      <c r="O67" s="164"/>
      <c r="P67" s="164"/>
      <c r="Q67" s="164"/>
      <c r="R67" s="164"/>
      <c r="S67" s="164"/>
      <c r="T67" s="164"/>
      <c r="U67" s="164"/>
      <c r="V67" s="164"/>
      <c r="W67" s="164"/>
    </row>
    <row r="68" spans="1:23">
      <c r="A68" s="387" t="s">
        <v>43</v>
      </c>
      <c r="B68" s="388"/>
      <c r="C68" s="388"/>
      <c r="D68" s="182">
        <f>SUM(-(K69)*5/100)</f>
        <v>-2.9287543894563176E-2</v>
      </c>
      <c r="E68" s="182">
        <f>SUM(D57+D68)</f>
        <v>0.52579619653140874</v>
      </c>
      <c r="F68" s="195">
        <f>SUM('FY21 Final'!E67)</f>
        <v>0.50933526181149502</v>
      </c>
      <c r="J68" s="286" t="s">
        <v>186</v>
      </c>
      <c r="K68" s="383" t="s">
        <v>187</v>
      </c>
      <c r="L68" s="384"/>
      <c r="O68" s="164"/>
      <c r="P68" s="164"/>
      <c r="Q68" s="164"/>
      <c r="R68" s="164"/>
      <c r="S68" s="164"/>
      <c r="T68" s="164"/>
      <c r="U68" s="164"/>
      <c r="V68" s="164"/>
      <c r="W68" s="164"/>
    </row>
    <row r="69" spans="1:23">
      <c r="A69" s="190" t="s">
        <v>132</v>
      </c>
      <c r="B69" s="191"/>
      <c r="C69" s="170"/>
      <c r="D69" s="182">
        <f>SUM(-(K70)*5/100)</f>
        <v>-2.0712456105436827E-2</v>
      </c>
      <c r="E69" s="182">
        <f>SUM(D58+D69)</f>
        <v>0.37184854695460201</v>
      </c>
      <c r="F69" s="195">
        <f>SUM('FY21 Final'!E68)</f>
        <v>0.38668543974112146</v>
      </c>
      <c r="H69" s="168" t="s">
        <v>43</v>
      </c>
      <c r="I69" s="169"/>
      <c r="J69" s="284">
        <f>SUM(C57)</f>
        <v>9124300</v>
      </c>
      <c r="K69" s="185">
        <f>SUM(J69/J71)</f>
        <v>0.58575087789126346</v>
      </c>
      <c r="L69" s="177"/>
      <c r="O69" s="164"/>
      <c r="P69" s="164"/>
      <c r="Q69" s="164"/>
      <c r="R69" s="164"/>
      <c r="S69" s="164"/>
      <c r="T69" s="164"/>
      <c r="U69" s="164"/>
      <c r="V69" s="164"/>
      <c r="W69" s="164"/>
    </row>
    <row r="70" spans="1:23">
      <c r="A70" s="171" t="s">
        <v>206</v>
      </c>
      <c r="B70" s="170"/>
      <c r="C70" s="170"/>
      <c r="D70" s="182">
        <v>0.05</v>
      </c>
      <c r="E70" s="182">
        <f>SUM(D59+D70)</f>
        <v>0.10235525651398919</v>
      </c>
      <c r="F70" s="195">
        <f>SUM('FY21 Final'!E69)</f>
        <v>0.10397929844738356</v>
      </c>
      <c r="H70" s="241" t="s">
        <v>132</v>
      </c>
      <c r="I70" s="170"/>
      <c r="J70" s="202">
        <f>SUM(C58)</f>
        <v>6452800</v>
      </c>
      <c r="K70" s="182">
        <f>SUM(J70/J71)</f>
        <v>0.41424912210873654</v>
      </c>
      <c r="L70" s="181"/>
      <c r="O70" s="164"/>
      <c r="P70" s="164"/>
      <c r="Q70" s="164"/>
      <c r="R70" s="164"/>
      <c r="S70" s="164"/>
      <c r="T70" s="164"/>
      <c r="U70" s="164"/>
      <c r="V70" s="164"/>
      <c r="W70" s="164"/>
    </row>
    <row r="71" spans="1:23">
      <c r="A71" s="174" t="s">
        <v>142</v>
      </c>
      <c r="B71" s="186"/>
      <c r="C71" s="186"/>
      <c r="D71" s="186"/>
      <c r="E71" s="196">
        <f>SUM(E68:E70)</f>
        <v>1</v>
      </c>
      <c r="F71" s="197">
        <f>SUM(F68:F70)</f>
        <v>1</v>
      </c>
      <c r="H71" s="285" t="s">
        <v>142</v>
      </c>
      <c r="I71" s="186"/>
      <c r="J71" s="203">
        <f>SUM(J69:J70)</f>
        <v>15577100</v>
      </c>
      <c r="K71" s="186"/>
      <c r="L71" s="214"/>
      <c r="O71" s="164"/>
      <c r="P71" s="164"/>
      <c r="Q71" s="164"/>
      <c r="R71" s="164"/>
      <c r="S71" s="164"/>
      <c r="T71" s="164"/>
      <c r="U71" s="164"/>
      <c r="V71" s="164"/>
      <c r="W71" s="164"/>
    </row>
    <row r="73" spans="1:23">
      <c r="A73" s="167" t="s">
        <v>143</v>
      </c>
      <c r="O73" s="164"/>
      <c r="P73" s="164"/>
      <c r="Q73" s="164"/>
      <c r="R73" s="164"/>
      <c r="S73" s="164"/>
      <c r="T73" s="164"/>
      <c r="U73" s="164"/>
      <c r="V73" s="164"/>
      <c r="W73" s="164"/>
    </row>
    <row r="74" spans="1:23">
      <c r="A74" s="194"/>
      <c r="B74" s="170"/>
      <c r="C74" s="374" t="s">
        <v>227</v>
      </c>
      <c r="D74" s="377"/>
      <c r="E74" s="374" t="s">
        <v>219</v>
      </c>
      <c r="F74" s="377"/>
      <c r="O74" s="164"/>
      <c r="P74" s="164"/>
      <c r="Q74" s="164"/>
      <c r="R74" s="164"/>
      <c r="S74" s="164"/>
      <c r="T74" s="164"/>
      <c r="U74" s="164"/>
      <c r="V74" s="164"/>
      <c r="W74" s="164"/>
    </row>
    <row r="75" spans="1:23">
      <c r="A75" s="180"/>
      <c r="B75" s="169"/>
      <c r="C75" s="168" t="s">
        <v>2</v>
      </c>
      <c r="D75" s="198" t="s">
        <v>26</v>
      </c>
      <c r="E75" s="168" t="s">
        <v>2</v>
      </c>
      <c r="F75" s="198" t="s">
        <v>26</v>
      </c>
      <c r="O75" s="164"/>
      <c r="P75" s="164"/>
      <c r="Q75" s="164"/>
      <c r="R75" s="164"/>
      <c r="S75" s="164"/>
      <c r="T75" s="164"/>
      <c r="U75" s="164"/>
      <c r="V75" s="164"/>
      <c r="W75" s="164"/>
    </row>
    <row r="76" spans="1:23">
      <c r="A76" s="380" t="s">
        <v>191</v>
      </c>
      <c r="B76" s="381"/>
      <c r="C76" s="233">
        <f>SUM(E49)</f>
        <v>325286.76</v>
      </c>
      <c r="D76" s="234">
        <f>SUM(K49)</f>
        <v>350080.26</v>
      </c>
      <c r="E76" s="309">
        <f>SUM(G49)</f>
        <v>325286.76</v>
      </c>
      <c r="F76" s="200">
        <f>SUM(M49)</f>
        <v>349924.44</v>
      </c>
      <c r="O76" s="164"/>
      <c r="P76" s="164"/>
      <c r="Q76" s="164"/>
      <c r="R76" s="164"/>
      <c r="S76" s="164"/>
      <c r="T76" s="164"/>
      <c r="U76" s="164"/>
      <c r="V76" s="164"/>
      <c r="W76" s="164"/>
    </row>
    <row r="77" spans="1:23">
      <c r="A77" s="380"/>
      <c r="B77" s="381"/>
      <c r="C77" s="233"/>
      <c r="D77" s="234"/>
      <c r="E77" s="217"/>
      <c r="F77" s="200"/>
      <c r="O77" s="164"/>
      <c r="P77" s="164"/>
      <c r="Q77" s="164"/>
      <c r="R77" s="164"/>
      <c r="S77" s="164"/>
      <c r="T77" s="164"/>
      <c r="U77" s="164"/>
      <c r="V77" s="164"/>
      <c r="W77" s="164"/>
    </row>
    <row r="78" spans="1:23">
      <c r="A78" s="171" t="s">
        <v>43</v>
      </c>
      <c r="B78" s="170"/>
      <c r="C78" s="216">
        <f>SUM($C$76)*E68</f>
        <v>171034.54119002519</v>
      </c>
      <c r="D78" s="200">
        <f>SUM($D$76)*H57</f>
        <v>259897.33845959575</v>
      </c>
      <c r="E78" s="218">
        <f>SUM('FY22 Final'!C77)</f>
        <v>171034.54119002519</v>
      </c>
      <c r="F78" s="200">
        <f>SUM('FY22 Final'!D77)</f>
        <v>239305.46637363633</v>
      </c>
      <c r="O78" s="164"/>
      <c r="P78" s="164"/>
      <c r="Q78" s="164"/>
      <c r="R78" s="164"/>
      <c r="S78" s="164"/>
      <c r="T78" s="164"/>
      <c r="U78" s="164"/>
      <c r="V78" s="164"/>
      <c r="W78" s="164"/>
    </row>
    <row r="79" spans="1:23">
      <c r="A79" s="171" t="s">
        <v>132</v>
      </c>
      <c r="B79" s="170"/>
      <c r="C79" s="216">
        <f>SUM($C$76)*E69</f>
        <v>120957.40904957036</v>
      </c>
      <c r="D79" s="200">
        <f>SUM($D$76)*H58</f>
        <v>77014.102567595415</v>
      </c>
      <c r="E79" s="218">
        <f>SUM('FY22 Final'!C78)</f>
        <v>120957.40904957036</v>
      </c>
      <c r="F79" s="200">
        <f>SUM('FY22 Final'!D78)</f>
        <v>87883.329591483896</v>
      </c>
      <c r="O79" s="164"/>
      <c r="P79" s="164"/>
      <c r="Q79" s="164"/>
      <c r="R79" s="164"/>
      <c r="S79" s="164"/>
      <c r="T79" s="164"/>
      <c r="U79" s="164"/>
      <c r="V79" s="164"/>
      <c r="W79" s="164"/>
    </row>
    <row r="80" spans="1:23">
      <c r="A80" s="174" t="s">
        <v>133</v>
      </c>
      <c r="B80" s="186"/>
      <c r="C80" s="296">
        <f>SUM($C$76)*E70</f>
        <v>33294.809760404438</v>
      </c>
      <c r="D80" s="201">
        <f>SUM($D$76)*H59</f>
        <v>13168.818972808849</v>
      </c>
      <c r="E80" s="297">
        <f>SUM('FY22 Final'!C79)</f>
        <v>33294.809760404438</v>
      </c>
      <c r="F80" s="201">
        <f>SUM('FY22 Final'!D79)</f>
        <v>22735.64403487977</v>
      </c>
      <c r="O80" s="164"/>
      <c r="P80" s="164"/>
      <c r="Q80" s="164"/>
      <c r="R80" s="164"/>
      <c r="S80" s="164"/>
      <c r="T80" s="164"/>
      <c r="U80" s="164"/>
      <c r="V80" s="164"/>
      <c r="W80" s="164"/>
    </row>
    <row r="82" spans="1:23" ht="23.25">
      <c r="A82" s="295" t="s">
        <v>144</v>
      </c>
    </row>
    <row r="83" spans="1:23" ht="23.25">
      <c r="A83" s="295"/>
    </row>
    <row r="84" spans="1:23">
      <c r="A84" s="167"/>
      <c r="C84" s="180"/>
      <c r="D84" s="382" t="s">
        <v>2</v>
      </c>
      <c r="E84" s="383"/>
      <c r="F84" s="383"/>
      <c r="G84" s="383"/>
      <c r="H84" s="383"/>
      <c r="I84" s="383"/>
      <c r="J84" s="392" t="s">
        <v>26</v>
      </c>
      <c r="K84" s="383"/>
      <c r="L84" s="383"/>
      <c r="M84" s="383"/>
      <c r="N84" s="383"/>
      <c r="O84" s="384"/>
      <c r="P84" s="164"/>
    </row>
    <row r="85" spans="1:23">
      <c r="C85" s="171"/>
      <c r="D85" s="378" t="s">
        <v>227</v>
      </c>
      <c r="E85" s="379"/>
      <c r="F85" s="378" t="s">
        <v>219</v>
      </c>
      <c r="G85" s="379"/>
      <c r="H85" s="378" t="s">
        <v>228</v>
      </c>
      <c r="I85" s="389"/>
      <c r="J85" s="390" t="s">
        <v>227</v>
      </c>
      <c r="K85" s="379"/>
      <c r="L85" s="378" t="s">
        <v>229</v>
      </c>
      <c r="M85" s="379"/>
      <c r="N85" s="386" t="s">
        <v>228</v>
      </c>
      <c r="O85" s="391"/>
      <c r="P85" s="164"/>
    </row>
    <row r="86" spans="1:23" ht="51.75" customHeight="1">
      <c r="C86" s="171" t="s">
        <v>146</v>
      </c>
      <c r="D86" s="235" t="s">
        <v>150</v>
      </c>
      <c r="E86" s="181" t="s">
        <v>151</v>
      </c>
      <c r="F86" s="235" t="s">
        <v>150</v>
      </c>
      <c r="G86" s="181" t="s">
        <v>210</v>
      </c>
      <c r="H86" s="235" t="s">
        <v>154</v>
      </c>
      <c r="I86" s="221" t="s">
        <v>155</v>
      </c>
      <c r="J86" s="249" t="s">
        <v>150</v>
      </c>
      <c r="K86" s="181" t="s">
        <v>151</v>
      </c>
      <c r="L86" s="235" t="s">
        <v>150</v>
      </c>
      <c r="M86" s="181" t="s">
        <v>151</v>
      </c>
      <c r="N86" s="221" t="s">
        <v>154</v>
      </c>
      <c r="O86" s="222" t="s">
        <v>155</v>
      </c>
      <c r="P86" s="164"/>
    </row>
    <row r="87" spans="1:23">
      <c r="A87" s="168" t="s">
        <v>43</v>
      </c>
      <c r="B87" s="169"/>
      <c r="C87" s="180"/>
      <c r="D87" s="236"/>
      <c r="E87" s="177"/>
      <c r="F87" s="236"/>
      <c r="G87" s="177"/>
      <c r="H87" s="236"/>
      <c r="I87" s="225"/>
      <c r="J87" s="250"/>
      <c r="K87" s="177"/>
      <c r="L87" s="236"/>
      <c r="M87" s="177"/>
      <c r="N87" s="225"/>
      <c r="O87" s="226"/>
      <c r="P87" s="164"/>
    </row>
    <row r="88" spans="1:23">
      <c r="A88" s="171"/>
      <c r="B88" s="170" t="s">
        <v>145</v>
      </c>
      <c r="C88" s="223">
        <v>0.3</v>
      </c>
      <c r="D88" s="304">
        <f>SUM(C78*C88)/F57</f>
        <v>120.44685999297549</v>
      </c>
      <c r="E88" s="234">
        <f>SUM(D88*F57)</f>
        <v>51310.362357007558</v>
      </c>
      <c r="F88" s="237">
        <f>SUM('FY22 Final'!D87)</f>
        <v>120.44685999297549</v>
      </c>
      <c r="G88" s="234">
        <f>SUM('FY22 Final'!E87)</f>
        <v>51310.362357007558</v>
      </c>
      <c r="H88" s="216">
        <f>SUM(D88-F88)</f>
        <v>0</v>
      </c>
      <c r="I88" s="183">
        <f>SUM(H88/F88)</f>
        <v>0</v>
      </c>
      <c r="J88" s="305">
        <f>SUM(D78*C88)/J57</f>
        <v>134.42965782392884</v>
      </c>
      <c r="K88" s="234">
        <f>SUM(J88*J57)</f>
        <v>77969.201537878718</v>
      </c>
      <c r="L88" s="237">
        <f>SUM('FY22 Final'!J87)</f>
        <v>169.72018891747254</v>
      </c>
      <c r="M88" s="234">
        <f>SUM('FY22 Final'!K87)</f>
        <v>71791.63991209089</v>
      </c>
      <c r="N88" s="199">
        <f>SUM(J88-L88)</f>
        <v>-35.290531093543706</v>
      </c>
      <c r="O88" s="224">
        <f>SUM(N88/L88)</f>
        <v>-0.20793360718390397</v>
      </c>
      <c r="P88" s="164"/>
    </row>
    <row r="89" spans="1:23">
      <c r="A89" s="171"/>
      <c r="B89" s="170" t="s">
        <v>147</v>
      </c>
      <c r="C89" s="223">
        <v>0.7</v>
      </c>
      <c r="D89" s="304">
        <f>SUM(C78*C89)/(E57*0.001)</f>
        <v>13.389249522861649</v>
      </c>
      <c r="E89" s="234">
        <f>SUM(D89)*(E57*0.001)</f>
        <v>119724.17883301762</v>
      </c>
      <c r="F89" s="237">
        <f>SUM('FY22 Final'!D88)</f>
        <v>13.389249522861649</v>
      </c>
      <c r="G89" s="234">
        <f>SUM('FY22 Final'!E88)</f>
        <v>119724.17883301762</v>
      </c>
      <c r="H89" s="216">
        <f>SUM(D89-F89)</f>
        <v>0</v>
      </c>
      <c r="I89" s="183">
        <f>SUM(H89/F89)</f>
        <v>0</v>
      </c>
      <c r="J89" s="305">
        <f>SUM(D78*C89)/(I57*0.001)</f>
        <v>10.929931752605199</v>
      </c>
      <c r="K89" s="234">
        <f>SUM(J89)*(I57*0.001)</f>
        <v>181928.136921717</v>
      </c>
      <c r="L89" s="216">
        <f>SUM('FY22 Final'!J88)</f>
        <v>18.870259980478544</v>
      </c>
      <c r="M89" s="234">
        <f>SUM('FY22 Final'!K88)</f>
        <v>167513.82646154542</v>
      </c>
      <c r="N89" s="199">
        <f>SUM(J89-L89)</f>
        <v>-7.9403282278733442</v>
      </c>
      <c r="O89" s="224">
        <f t="shared" ref="O89:O97" si="0">SUM(N89/L89)</f>
        <v>-0.42078531170676431</v>
      </c>
      <c r="P89" s="164"/>
    </row>
    <row r="90" spans="1:23" s="166" customFormat="1">
      <c r="A90" s="298"/>
      <c r="B90" s="299" t="s">
        <v>160</v>
      </c>
      <c r="C90" s="298"/>
      <c r="D90" s="298"/>
      <c r="E90" s="300">
        <f>SUM(E88:E89)</f>
        <v>171034.54119002516</v>
      </c>
      <c r="F90" s="298"/>
      <c r="G90" s="300">
        <f>SUM(G88:G89)</f>
        <v>171034.54119002516</v>
      </c>
      <c r="H90" s="298"/>
      <c r="I90" s="299"/>
      <c r="J90" s="301"/>
      <c r="K90" s="300">
        <f>SUM(K88:K89)</f>
        <v>259897.33845959572</v>
      </c>
      <c r="L90" s="298"/>
      <c r="M90" s="300">
        <f>SUM(M88:M89)</f>
        <v>239305.46637363633</v>
      </c>
      <c r="N90" s="299"/>
      <c r="O90" s="302"/>
      <c r="Q90" s="303"/>
      <c r="R90" s="303"/>
      <c r="S90" s="303"/>
      <c r="T90" s="303"/>
      <c r="U90" s="303"/>
      <c r="V90" s="303"/>
      <c r="W90" s="303"/>
    </row>
    <row r="91" spans="1:23">
      <c r="A91" s="168" t="s">
        <v>132</v>
      </c>
      <c r="B91" s="169"/>
      <c r="C91" s="180"/>
      <c r="D91" s="180"/>
      <c r="E91" s="177"/>
      <c r="F91" s="180"/>
      <c r="G91" s="177"/>
      <c r="H91" s="180"/>
      <c r="I91" s="169"/>
      <c r="J91" s="253"/>
      <c r="K91" s="177"/>
      <c r="L91" s="180"/>
      <c r="M91" s="177"/>
      <c r="N91" s="354"/>
      <c r="O91" s="224"/>
      <c r="P91" s="164"/>
    </row>
    <row r="92" spans="1:23">
      <c r="A92" s="171"/>
      <c r="B92" s="170" t="s">
        <v>145</v>
      </c>
      <c r="C92" s="223">
        <v>0.4</v>
      </c>
      <c r="D92" s="304">
        <f>SUM(C79*C92)/F58</f>
        <v>636.61794236615981</v>
      </c>
      <c r="E92" s="234">
        <f>SUM(D92*F58)</f>
        <v>48382.963619828144</v>
      </c>
      <c r="F92" s="237">
        <f>SUM('FY22 Final'!D91)</f>
        <v>636.61794236615981</v>
      </c>
      <c r="G92" s="234">
        <f>SUM('FY22 Final'!E91)</f>
        <v>48382.963619828144</v>
      </c>
      <c r="H92" s="216">
        <f>SUM(D92-F92)</f>
        <v>0</v>
      </c>
      <c r="I92" s="183">
        <f>SUM(H92/F92)</f>
        <v>0</v>
      </c>
      <c r="J92" s="305">
        <f>SUM(D79*C92)/J58</f>
        <v>371.15230153058036</v>
      </c>
      <c r="K92" s="234">
        <f>SUM(J92*J58)</f>
        <v>30805.641027038171</v>
      </c>
      <c r="L92" s="237">
        <f>SUM('FY22 Final'!J91)</f>
        <v>475.04502481883191</v>
      </c>
      <c r="M92" s="234">
        <f>SUM('FY22 Final'!K91)</f>
        <v>35153.331836593563</v>
      </c>
      <c r="N92" s="199">
        <f>SUM(J92-L92)</f>
        <v>-103.89272328825155</v>
      </c>
      <c r="O92" s="224">
        <f t="shared" si="0"/>
        <v>-0.21870079226252953</v>
      </c>
      <c r="P92" s="164"/>
    </row>
    <row r="93" spans="1:23">
      <c r="A93" s="171"/>
      <c r="B93" s="170" t="s">
        <v>147</v>
      </c>
      <c r="C93" s="223">
        <v>0.6</v>
      </c>
      <c r="D93" s="304">
        <f>SUM(C79*C93)/(E58*0.001)</f>
        <v>11.476499591024274</v>
      </c>
      <c r="E93" s="234">
        <f>SUM(D93)*(E58*0.001)</f>
        <v>72574.445429742205</v>
      </c>
      <c r="F93" s="216">
        <f>SUM('FY22 Final'!D92)</f>
        <v>11.476499591024274</v>
      </c>
      <c r="G93" s="234">
        <f>SUM('FY22 Final'!E92)</f>
        <v>72574.445429742205</v>
      </c>
      <c r="H93" s="216">
        <f>SUM(D93-F93)</f>
        <v>0</v>
      </c>
      <c r="I93" s="183">
        <f>SUM(H93/F93)</f>
        <v>0</v>
      </c>
      <c r="J93" s="305">
        <f>SUM(D79*C93)/(I58*0.001)</f>
        <v>9.3685129308044566</v>
      </c>
      <c r="K93" s="234">
        <f>SUM(J93)*(I58*0.001)</f>
        <v>46208.461540557248</v>
      </c>
      <c r="L93" s="216">
        <f>SUM('FY22 Final'!J92)</f>
        <v>16.174508554695894</v>
      </c>
      <c r="M93" s="234">
        <f>SUM('FY22 Final'!K92)</f>
        <v>52729.997754890341</v>
      </c>
      <c r="N93" s="199">
        <f>SUM(J93-L93)</f>
        <v>-6.8059956238914374</v>
      </c>
      <c r="O93" s="224">
        <f t="shared" si="0"/>
        <v>-0.42078531170676431</v>
      </c>
      <c r="P93" s="164"/>
    </row>
    <row r="94" spans="1:23" s="166" customFormat="1">
      <c r="A94" s="298"/>
      <c r="B94" s="299" t="s">
        <v>160</v>
      </c>
      <c r="C94" s="298"/>
      <c r="D94" s="298"/>
      <c r="E94" s="300">
        <f>SUM(E92:E93)</f>
        <v>120957.40904957036</v>
      </c>
      <c r="F94" s="298"/>
      <c r="G94" s="300">
        <f>SUM(G92:G93)</f>
        <v>120957.40904957036</v>
      </c>
      <c r="H94" s="298"/>
      <c r="I94" s="299"/>
      <c r="J94" s="301"/>
      <c r="K94" s="300">
        <f>SUM(K92:K93)</f>
        <v>77014.102567595415</v>
      </c>
      <c r="L94" s="298"/>
      <c r="M94" s="300">
        <f>SUM(M92:M93)</f>
        <v>87883.329591483896</v>
      </c>
      <c r="N94" s="299"/>
      <c r="O94" s="302"/>
      <c r="Q94" s="303"/>
      <c r="R94" s="303"/>
      <c r="S94" s="303"/>
      <c r="T94" s="303"/>
      <c r="U94" s="303"/>
      <c r="V94" s="303"/>
      <c r="W94" s="303"/>
    </row>
    <row r="95" spans="1:23">
      <c r="A95" s="168" t="s">
        <v>133</v>
      </c>
      <c r="B95" s="169"/>
      <c r="C95" s="180"/>
      <c r="D95" s="180"/>
      <c r="E95" s="177"/>
      <c r="F95" s="180"/>
      <c r="G95" s="177"/>
      <c r="H95" s="180"/>
      <c r="I95" s="169"/>
      <c r="J95" s="253"/>
      <c r="K95" s="177"/>
      <c r="L95" s="180"/>
      <c r="M95" s="177"/>
      <c r="N95" s="354"/>
      <c r="O95" s="224"/>
      <c r="P95" s="164"/>
    </row>
    <row r="96" spans="1:23">
      <c r="A96" s="171"/>
      <c r="B96" s="170" t="s">
        <v>145</v>
      </c>
      <c r="C96" s="223">
        <v>0.5</v>
      </c>
      <c r="D96" s="304">
        <f>SUM(C80*C96)/F59</f>
        <v>5549.1349600674066</v>
      </c>
      <c r="E96" s="234">
        <f>SUM(D96*F59)</f>
        <v>16647.404880202219</v>
      </c>
      <c r="F96" s="237">
        <f>SUM('FY22 Final'!D95)</f>
        <v>5549.1349600674066</v>
      </c>
      <c r="G96" s="234">
        <f>SUM('FY22 Final'!E95)</f>
        <v>16647.404880202219</v>
      </c>
      <c r="H96" s="216">
        <f>SUM(D96-F96)</f>
        <v>0</v>
      </c>
      <c r="I96" s="183">
        <f>SUM(H96/F96)</f>
        <v>0</v>
      </c>
      <c r="J96" s="305">
        <f>SUM(D80*C96)/J59</f>
        <v>2194.8031621348082</v>
      </c>
      <c r="K96" s="234">
        <f>SUM(J96*J59)</f>
        <v>6584.4094864044246</v>
      </c>
      <c r="L96" s="237">
        <f>SUM('FY22 Final'!J95)</f>
        <v>3789.2740058132949</v>
      </c>
      <c r="M96" s="234">
        <f>SUM('FY22 Final'!K95)</f>
        <v>11367.822017439885</v>
      </c>
      <c r="N96" s="199">
        <f>SUM(J96-L96)</f>
        <v>-1594.4708436784867</v>
      </c>
      <c r="O96" s="224">
        <f t="shared" si="0"/>
        <v>-0.42078531170676431</v>
      </c>
      <c r="P96" s="164"/>
    </row>
    <row r="97" spans="1:23">
      <c r="A97" s="171"/>
      <c r="B97" s="170" t="s">
        <v>147</v>
      </c>
      <c r="C97" s="223">
        <v>0.5</v>
      </c>
      <c r="D97" s="304">
        <f>SUM(C80*C97)/(E59*0.001)</f>
        <v>19.738726280433465</v>
      </c>
      <c r="E97" s="234">
        <f>SUM(D97)*(E59*0.001)</f>
        <v>16647.404880202219</v>
      </c>
      <c r="F97" s="216">
        <f>SUM('FY22 Final'!D96)</f>
        <v>19.738726280433465</v>
      </c>
      <c r="G97" s="234">
        <f>SUM('FY22 Final'!E96)</f>
        <v>16647.404880202219</v>
      </c>
      <c r="H97" s="216">
        <f>SUM(D97-F97)</f>
        <v>0</v>
      </c>
      <c r="I97" s="183">
        <f>SUM(H97/F97)</f>
        <v>0</v>
      </c>
      <c r="J97" s="305">
        <f>SUM(D80*C97)/(I59*0.001)</f>
        <v>7.8070941090037138</v>
      </c>
      <c r="K97" s="234">
        <f>SUM(J97)*(I59*0.001)</f>
        <v>6584.4094864044246</v>
      </c>
      <c r="L97" s="216">
        <f>SUM('FY22 Final'!J96)</f>
        <v>13.478757128913246</v>
      </c>
      <c r="M97" s="234">
        <f>SUM('FY22 Final'!K96)</f>
        <v>11367.822017439885</v>
      </c>
      <c r="N97" s="199">
        <f>SUM(J97-L97)</f>
        <v>-5.6716630199095324</v>
      </c>
      <c r="O97" s="224">
        <f t="shared" si="0"/>
        <v>-0.42078531170676436</v>
      </c>
      <c r="P97" s="164"/>
    </row>
    <row r="98" spans="1:23" s="166" customFormat="1">
      <c r="A98" s="298"/>
      <c r="B98" s="299" t="s">
        <v>160</v>
      </c>
      <c r="C98" s="298"/>
      <c r="D98" s="298"/>
      <c r="E98" s="300">
        <f>SUM(E96:E97)</f>
        <v>33294.809760404438</v>
      </c>
      <c r="F98" s="298"/>
      <c r="G98" s="300">
        <f>SUM(G96:G97)</f>
        <v>33294.809760404438</v>
      </c>
      <c r="H98" s="298"/>
      <c r="I98" s="299"/>
      <c r="J98" s="301"/>
      <c r="K98" s="300">
        <f>SUM(K96:K97)</f>
        <v>13168.818972808849</v>
      </c>
      <c r="L98" s="298"/>
      <c r="M98" s="300">
        <f>SUM(M96:M97)</f>
        <v>22735.64403487977</v>
      </c>
      <c r="N98" s="299"/>
      <c r="O98" s="302"/>
      <c r="Q98" s="303"/>
      <c r="R98" s="303"/>
      <c r="S98" s="303"/>
      <c r="T98" s="303"/>
      <c r="U98" s="303"/>
      <c r="V98" s="303"/>
      <c r="W98" s="303"/>
    </row>
    <row r="99" spans="1:23">
      <c r="N99" s="165"/>
    </row>
    <row r="100" spans="1:23">
      <c r="E100" s="188"/>
    </row>
    <row r="101" spans="1:23" ht="23.25">
      <c r="A101" s="295" t="s">
        <v>168</v>
      </c>
    </row>
    <row r="102" spans="1:23" ht="23.25">
      <c r="A102" s="272"/>
    </row>
    <row r="103" spans="1:23">
      <c r="A103" s="180"/>
      <c r="B103" s="169"/>
      <c r="C103" s="169"/>
      <c r="D103" s="169"/>
      <c r="E103" s="169"/>
      <c r="F103" s="169"/>
      <c r="G103" s="168" t="s">
        <v>2</v>
      </c>
      <c r="H103" s="198" t="s">
        <v>26</v>
      </c>
    </row>
    <row r="104" spans="1:23">
      <c r="A104" s="171" t="s">
        <v>173</v>
      </c>
      <c r="B104" s="170"/>
      <c r="C104" s="170"/>
      <c r="D104" s="170"/>
      <c r="E104" s="170"/>
      <c r="F104" s="170"/>
      <c r="G104" s="233">
        <f>SUM(E88+E92+E96+E33+E39+E42+E44)</f>
        <v>169045.97085703793</v>
      </c>
      <c r="H104" s="234">
        <f>SUM(K88+K92+K96+K28+K33+(0.5*K40)+K42+K44)</f>
        <v>333542.83205132134</v>
      </c>
    </row>
    <row r="105" spans="1:23">
      <c r="A105" s="171" t="s">
        <v>171</v>
      </c>
      <c r="B105" s="170"/>
      <c r="C105" s="170"/>
      <c r="D105" s="170"/>
      <c r="E105" s="170"/>
      <c r="F105" s="170"/>
      <c r="G105" s="233">
        <f>SUM(E89+E93+E97+E38)</f>
        <v>210446.02914296204</v>
      </c>
      <c r="H105" s="234">
        <f>SUM(K89+K93+K97+K29+(0.5*K40))</f>
        <v>455994.16794867866</v>
      </c>
    </row>
    <row r="106" spans="1:23">
      <c r="A106" s="260" t="s">
        <v>142</v>
      </c>
      <c r="B106" s="232"/>
      <c r="C106" s="232"/>
      <c r="D106" s="232"/>
      <c r="E106" s="232"/>
      <c r="F106" s="232"/>
      <c r="G106" s="261">
        <f>SUM(G104:G105)</f>
        <v>379492</v>
      </c>
      <c r="H106" s="262">
        <f>SUM(H104:H105)</f>
        <v>789537</v>
      </c>
    </row>
    <row r="107" spans="1:23">
      <c r="A107" s="171" t="s">
        <v>207</v>
      </c>
      <c r="B107" s="170"/>
      <c r="C107" s="170"/>
      <c r="D107" s="170"/>
      <c r="E107" s="170"/>
      <c r="F107" s="170"/>
      <c r="G107" s="233">
        <f>SUM(D11-G106)</f>
        <v>0</v>
      </c>
      <c r="H107" s="234">
        <f>SUM(E11-H106)</f>
        <v>0</v>
      </c>
    </row>
    <row r="108" spans="1:23" ht="17.25" customHeight="1">
      <c r="A108" s="171" t="s">
        <v>169</v>
      </c>
      <c r="B108" s="170"/>
      <c r="C108" s="170"/>
      <c r="D108" s="170"/>
      <c r="E108" s="170"/>
      <c r="F108" s="170"/>
      <c r="G108" s="331">
        <v>199376</v>
      </c>
      <c r="H108" s="323">
        <v>163302</v>
      </c>
    </row>
    <row r="109" spans="1:23" ht="17.25" customHeight="1">
      <c r="A109" s="174" t="s">
        <v>208</v>
      </c>
      <c r="B109" s="186"/>
      <c r="C109" s="186"/>
      <c r="D109" s="186"/>
      <c r="E109" s="186"/>
      <c r="F109" s="186"/>
      <c r="G109" s="259">
        <f>SUM(1-(G108-G104)/G108)</f>
        <v>0.84787522498714951</v>
      </c>
      <c r="H109" s="197">
        <f>SUM(1-(H108-H104)/H108)</f>
        <v>2.0424907965078281</v>
      </c>
    </row>
    <row r="112" spans="1:23" ht="23.25">
      <c r="A112" s="295" t="s">
        <v>174</v>
      </c>
    </row>
    <row r="113" spans="1:23">
      <c r="D113" s="374" t="s">
        <v>227</v>
      </c>
      <c r="E113" s="375"/>
      <c r="F113" s="376" t="s">
        <v>219</v>
      </c>
      <c r="G113" s="377"/>
    </row>
    <row r="114" spans="1:23">
      <c r="D114" s="360" t="s">
        <v>2</v>
      </c>
      <c r="E114" s="361" t="s">
        <v>26</v>
      </c>
      <c r="F114" s="263" t="s">
        <v>2</v>
      </c>
      <c r="G114" s="184" t="s">
        <v>26</v>
      </c>
      <c r="O114" s="164"/>
      <c r="P114" s="164"/>
      <c r="Q114" s="164"/>
      <c r="R114" s="164"/>
      <c r="S114" s="164"/>
      <c r="T114" s="164"/>
      <c r="U114" s="164"/>
      <c r="V114" s="164"/>
      <c r="W114" s="164"/>
    </row>
    <row r="115" spans="1:23">
      <c r="A115" s="168" t="s">
        <v>43</v>
      </c>
      <c r="B115" s="169"/>
      <c r="C115" s="169"/>
      <c r="D115" s="180"/>
      <c r="E115" s="266"/>
      <c r="F115" s="253"/>
      <c r="G115" s="177"/>
      <c r="O115" s="164"/>
      <c r="P115" s="164"/>
      <c r="Q115" s="164"/>
      <c r="R115" s="164"/>
      <c r="S115" s="164"/>
      <c r="T115" s="164"/>
      <c r="U115" s="164"/>
      <c r="V115" s="164"/>
      <c r="W115" s="164"/>
    </row>
    <row r="116" spans="1:23">
      <c r="A116" s="171" t="s">
        <v>147</v>
      </c>
      <c r="B116" s="170"/>
      <c r="C116" s="170"/>
      <c r="D116" s="216">
        <f>SUM((E57/F57)/1000)*D89</f>
        <v>281.04267331694274</v>
      </c>
      <c r="E116" s="267">
        <f>SUM((I57/J57)/1000)*J89</f>
        <v>313.66920158916724</v>
      </c>
      <c r="F116" s="264">
        <f>SUM('FY22 Final'!D115)</f>
        <v>281.04267331694274</v>
      </c>
      <c r="G116" s="200">
        <f>SUM('FY22 Final'!E115)</f>
        <v>396.01377414076933</v>
      </c>
      <c r="O116" s="164"/>
      <c r="P116" s="164"/>
      <c r="Q116" s="164"/>
      <c r="R116" s="164"/>
      <c r="S116" s="164"/>
      <c r="T116" s="164"/>
      <c r="U116" s="164"/>
      <c r="V116" s="164"/>
      <c r="W116" s="164"/>
    </row>
    <row r="117" spans="1:23">
      <c r="A117" s="171" t="s">
        <v>175</v>
      </c>
      <c r="B117" s="170"/>
      <c r="C117" s="170"/>
      <c r="D117" s="216">
        <f>SUM(D88)</f>
        <v>120.44685999297549</v>
      </c>
      <c r="E117" s="267">
        <f>SUM(J88)</f>
        <v>134.42965782392884</v>
      </c>
      <c r="F117" s="264">
        <f>SUM('FY22 Final'!D116)</f>
        <v>120.44685999297549</v>
      </c>
      <c r="G117" s="200">
        <f>SUM('FY22 Final'!E116)</f>
        <v>169.72018891747254</v>
      </c>
      <c r="O117" s="164"/>
      <c r="P117" s="164"/>
      <c r="Q117" s="164"/>
      <c r="R117" s="164"/>
      <c r="S117" s="164"/>
      <c r="T117" s="164"/>
      <c r="U117" s="164"/>
      <c r="V117" s="164"/>
      <c r="W117" s="164"/>
    </row>
    <row r="118" spans="1:23">
      <c r="A118" s="171" t="s">
        <v>142</v>
      </c>
      <c r="B118" s="170"/>
      <c r="C118" s="170"/>
      <c r="D118" s="216">
        <f>SUM(D116:D117)</f>
        <v>401.48953330991822</v>
      </c>
      <c r="E118" s="267">
        <f>SUM(E116:E117)</f>
        <v>448.09885941309608</v>
      </c>
      <c r="F118" s="264">
        <f>SUM('FY22 Final'!D117)</f>
        <v>401.48953330991822</v>
      </c>
      <c r="G118" s="200">
        <f>SUM('FY22 Final'!E117)</f>
        <v>565.7339630582419</v>
      </c>
      <c r="O118" s="164"/>
      <c r="P118" s="164"/>
      <c r="Q118" s="164"/>
      <c r="R118" s="164"/>
      <c r="S118" s="164"/>
      <c r="T118" s="164"/>
      <c r="U118" s="164"/>
      <c r="V118" s="164"/>
      <c r="W118" s="164"/>
    </row>
    <row r="119" spans="1:23">
      <c r="A119" s="260" t="s">
        <v>176</v>
      </c>
      <c r="B119" s="232"/>
      <c r="C119" s="232"/>
      <c r="D119" s="270">
        <f>SUM(D118:E118)</f>
        <v>849.58839272301429</v>
      </c>
      <c r="E119" s="268"/>
      <c r="F119" s="264">
        <f>SUM('FY22 Final'!D118)</f>
        <v>967.22349636816011</v>
      </c>
      <c r="G119" s="200"/>
      <c r="O119" s="164"/>
      <c r="P119" s="164"/>
      <c r="Q119" s="164"/>
      <c r="R119" s="164"/>
      <c r="S119" s="164"/>
      <c r="T119" s="164"/>
      <c r="U119" s="164"/>
      <c r="V119" s="164"/>
      <c r="W119" s="164"/>
    </row>
    <row r="120" spans="1:23">
      <c r="A120" s="260" t="s">
        <v>177</v>
      </c>
      <c r="B120" s="232"/>
      <c r="C120" s="232"/>
      <c r="D120" s="270">
        <f>SUM(D119-F119)</f>
        <v>-117.63510364514582</v>
      </c>
      <c r="E120" s="268"/>
      <c r="F120" s="254"/>
      <c r="G120" s="181"/>
      <c r="O120" s="164"/>
      <c r="P120" s="164"/>
      <c r="Q120" s="164"/>
      <c r="R120" s="164"/>
      <c r="S120" s="164"/>
      <c r="T120" s="164"/>
      <c r="U120" s="164"/>
      <c r="V120" s="164"/>
      <c r="W120" s="164"/>
    </row>
    <row r="121" spans="1:23">
      <c r="A121" s="229" t="s">
        <v>178</v>
      </c>
      <c r="B121" s="228"/>
      <c r="C121" s="228"/>
      <c r="D121" s="271">
        <f>SUM(D120/F119)</f>
        <v>-0.1216214288495424</v>
      </c>
      <c r="E121" s="269"/>
      <c r="F121" s="265"/>
      <c r="G121" s="214"/>
      <c r="O121" s="164"/>
      <c r="P121" s="164"/>
      <c r="Q121" s="164"/>
      <c r="R121" s="164"/>
      <c r="S121" s="164"/>
      <c r="T121" s="164"/>
      <c r="U121" s="164"/>
      <c r="V121" s="164"/>
      <c r="W121" s="164"/>
    </row>
    <row r="122" spans="1:23">
      <c r="D122" s="171"/>
      <c r="E122" s="268"/>
      <c r="F122" s="254"/>
      <c r="G122" s="170"/>
      <c r="O122" s="164"/>
      <c r="P122" s="164"/>
      <c r="Q122" s="164"/>
      <c r="R122" s="164"/>
      <c r="S122" s="164"/>
      <c r="T122" s="164"/>
      <c r="U122" s="164"/>
      <c r="V122" s="164"/>
      <c r="W122" s="164"/>
    </row>
    <row r="123" spans="1:23">
      <c r="A123" s="168" t="s">
        <v>132</v>
      </c>
      <c r="B123" s="169"/>
      <c r="C123" s="169"/>
      <c r="D123" s="180"/>
      <c r="E123" s="266"/>
      <c r="F123" s="253"/>
      <c r="G123" s="177"/>
      <c r="O123" s="164"/>
      <c r="P123" s="164"/>
      <c r="Q123" s="164"/>
      <c r="R123" s="164"/>
      <c r="S123" s="164"/>
      <c r="T123" s="164"/>
      <c r="U123" s="164"/>
      <c r="V123" s="164"/>
      <c r="W123" s="164"/>
    </row>
    <row r="124" spans="1:23">
      <c r="A124" s="171" t="s">
        <v>147</v>
      </c>
      <c r="B124" s="170"/>
      <c r="C124" s="170"/>
      <c r="D124" s="216">
        <f>SUM((E58/F58)/1000)*D93</f>
        <v>954.92691354923943</v>
      </c>
      <c r="E124" s="267">
        <f>SUM((I58/J58)/1000)*J93</f>
        <v>556.7284522958704</v>
      </c>
      <c r="F124" s="264">
        <f>SUM('FY22 Final'!D123)</f>
        <v>954.92691354923943</v>
      </c>
      <c r="G124" s="200">
        <f>SUM('FY22 Final'!E123)</f>
        <v>712.56753722824783</v>
      </c>
      <c r="O124" s="164"/>
      <c r="P124" s="164"/>
      <c r="Q124" s="164"/>
      <c r="R124" s="164"/>
      <c r="S124" s="164"/>
      <c r="T124" s="164"/>
      <c r="U124" s="164"/>
      <c r="V124" s="164"/>
      <c r="W124" s="164"/>
    </row>
    <row r="125" spans="1:23">
      <c r="A125" s="171" t="s">
        <v>175</v>
      </c>
      <c r="B125" s="170"/>
      <c r="C125" s="170"/>
      <c r="D125" s="216">
        <f>SUM(D92)</f>
        <v>636.61794236615981</v>
      </c>
      <c r="E125" s="267">
        <f>SUM(J92)</f>
        <v>371.15230153058036</v>
      </c>
      <c r="F125" s="264">
        <f>SUM('FY22 Final'!D124)</f>
        <v>636.61794236615981</v>
      </c>
      <c r="G125" s="200">
        <f>SUM('FY22 Final'!E124)</f>
        <v>475.04502481883191</v>
      </c>
      <c r="O125" s="164"/>
      <c r="P125" s="164"/>
      <c r="Q125" s="164"/>
      <c r="R125" s="164"/>
      <c r="S125" s="164"/>
      <c r="T125" s="164"/>
      <c r="U125" s="164"/>
      <c r="V125" s="164"/>
      <c r="W125" s="164"/>
    </row>
    <row r="126" spans="1:23">
      <c r="A126" s="171" t="s">
        <v>142</v>
      </c>
      <c r="B126" s="170"/>
      <c r="C126" s="170"/>
      <c r="D126" s="216">
        <f>SUM(D124:D125)</f>
        <v>1591.5448559153992</v>
      </c>
      <c r="E126" s="267">
        <f>SUM(E124:E125)</f>
        <v>927.8807538264507</v>
      </c>
      <c r="F126" s="264">
        <f>SUM('FY22 Final'!D125)</f>
        <v>1591.5448559153992</v>
      </c>
      <c r="G126" s="200">
        <f>SUM('FY22 Final'!E125)</f>
        <v>1187.6125620470798</v>
      </c>
      <c r="O126" s="164"/>
      <c r="P126" s="164"/>
      <c r="Q126" s="164"/>
      <c r="R126" s="164"/>
      <c r="S126" s="164"/>
      <c r="T126" s="164"/>
      <c r="U126" s="164"/>
      <c r="V126" s="164"/>
      <c r="W126" s="164"/>
    </row>
    <row r="127" spans="1:23">
      <c r="A127" s="260" t="s">
        <v>176</v>
      </c>
      <c r="B127" s="232"/>
      <c r="C127" s="232"/>
      <c r="D127" s="270">
        <f>SUM(D126:E126)</f>
        <v>2519.4256097418502</v>
      </c>
      <c r="E127" s="268"/>
      <c r="F127" s="264">
        <f>SUM('FY22 Final'!D126)</f>
        <v>2779.157417962479</v>
      </c>
      <c r="G127" s="200"/>
      <c r="O127" s="164"/>
      <c r="P127" s="164"/>
      <c r="Q127" s="164"/>
      <c r="R127" s="164"/>
      <c r="S127" s="164"/>
      <c r="T127" s="164"/>
      <c r="U127" s="164"/>
      <c r="V127" s="164"/>
      <c r="W127" s="164"/>
    </row>
    <row r="128" spans="1:23">
      <c r="A128" s="260" t="s">
        <v>177</v>
      </c>
      <c r="B128" s="232"/>
      <c r="C128" s="232"/>
      <c r="D128" s="270">
        <f>SUM(D127-F127)</f>
        <v>-259.73180822062886</v>
      </c>
      <c r="E128" s="268"/>
      <c r="F128" s="254"/>
      <c r="G128" s="181"/>
      <c r="O128" s="164"/>
      <c r="P128" s="164"/>
      <c r="Q128" s="164"/>
      <c r="R128" s="164"/>
      <c r="S128" s="164"/>
      <c r="T128" s="164"/>
      <c r="U128" s="164"/>
      <c r="V128" s="164"/>
      <c r="W128" s="164"/>
    </row>
    <row r="129" spans="1:23">
      <c r="A129" s="229" t="s">
        <v>178</v>
      </c>
      <c r="B129" s="228"/>
      <c r="C129" s="228"/>
      <c r="D129" s="271">
        <f>SUM(D128/F127)</f>
        <v>-9.3457033610945844E-2</v>
      </c>
      <c r="E129" s="269"/>
      <c r="F129" s="265"/>
      <c r="G129" s="214"/>
      <c r="O129" s="164"/>
      <c r="P129" s="164"/>
      <c r="Q129" s="164"/>
      <c r="R129" s="164"/>
      <c r="S129" s="164"/>
      <c r="T129" s="164"/>
      <c r="U129" s="164"/>
      <c r="V129" s="164"/>
      <c r="W129" s="164"/>
    </row>
    <row r="130" spans="1:23">
      <c r="D130" s="171"/>
      <c r="E130" s="268"/>
      <c r="F130" s="254"/>
      <c r="G130" s="170"/>
      <c r="O130" s="164"/>
      <c r="P130" s="164"/>
      <c r="Q130" s="164"/>
      <c r="R130" s="164"/>
      <c r="S130" s="164"/>
      <c r="T130" s="164"/>
      <c r="U130" s="164"/>
      <c r="V130" s="164"/>
      <c r="W130" s="164"/>
    </row>
    <row r="131" spans="1:23">
      <c r="A131" s="168" t="s">
        <v>133</v>
      </c>
      <c r="B131" s="169"/>
      <c r="C131" s="169"/>
      <c r="D131" s="180"/>
      <c r="E131" s="266"/>
      <c r="F131" s="253"/>
      <c r="G131" s="177"/>
      <c r="O131" s="164"/>
      <c r="P131" s="164"/>
      <c r="Q131" s="164"/>
      <c r="R131" s="164"/>
      <c r="S131" s="164"/>
      <c r="T131" s="164"/>
      <c r="U131" s="164"/>
      <c r="V131" s="164"/>
      <c r="W131" s="164"/>
    </row>
    <row r="132" spans="1:23">
      <c r="A132" s="171" t="s">
        <v>147</v>
      </c>
      <c r="B132" s="170"/>
      <c r="C132" s="170"/>
      <c r="D132" s="216">
        <f>SUM((E59/F59)/1000)*D97</f>
        <v>5549.1349600674057</v>
      </c>
      <c r="E132" s="267">
        <f>SUM((I59/J59)/1000)*J97</f>
        <v>2194.8031621348077</v>
      </c>
      <c r="F132" s="264">
        <f>SUM('FY22 Final'!D131)</f>
        <v>5549.1349600674057</v>
      </c>
      <c r="G132" s="200">
        <f>SUM('FY22 Final'!E131)</f>
        <v>3789.2740058132945</v>
      </c>
      <c r="O132" s="164"/>
      <c r="P132" s="164"/>
      <c r="Q132" s="164"/>
      <c r="R132" s="164"/>
      <c r="S132" s="164"/>
      <c r="T132" s="164"/>
      <c r="U132" s="164"/>
      <c r="V132" s="164"/>
      <c r="W132" s="164"/>
    </row>
    <row r="133" spans="1:23">
      <c r="A133" s="171" t="s">
        <v>175</v>
      </c>
      <c r="B133" s="170"/>
      <c r="C133" s="170"/>
      <c r="D133" s="216">
        <f>SUM(D96)</f>
        <v>5549.1349600674066</v>
      </c>
      <c r="E133" s="267">
        <f>SUM(J96)</f>
        <v>2194.8031621348082</v>
      </c>
      <c r="F133" s="264">
        <f>SUM('FY22 Final'!D132)</f>
        <v>5549.1349600674066</v>
      </c>
      <c r="G133" s="200">
        <f>SUM('FY22 Final'!E132)</f>
        <v>3789.2740058132949</v>
      </c>
      <c r="O133" s="164"/>
      <c r="P133" s="164"/>
      <c r="Q133" s="164"/>
      <c r="R133" s="164"/>
      <c r="S133" s="164"/>
      <c r="T133" s="164"/>
      <c r="U133" s="164"/>
      <c r="V133" s="164"/>
      <c r="W133" s="164"/>
    </row>
    <row r="134" spans="1:23">
      <c r="A134" s="171" t="s">
        <v>142</v>
      </c>
      <c r="B134" s="170"/>
      <c r="C134" s="170"/>
      <c r="D134" s="216">
        <f>SUM(D132:D133)</f>
        <v>11098.269920134811</v>
      </c>
      <c r="E134" s="267">
        <f>SUM(E132:E133)</f>
        <v>4389.6063242696164</v>
      </c>
      <c r="F134" s="264">
        <f>SUM('FY22 Final'!D133)</f>
        <v>11098.269920134811</v>
      </c>
      <c r="G134" s="200">
        <f>SUM('FY22 Final'!E133)</f>
        <v>7578.5480116265899</v>
      </c>
      <c r="O134" s="164"/>
      <c r="P134" s="164"/>
      <c r="Q134" s="164"/>
      <c r="R134" s="164"/>
      <c r="S134" s="164"/>
      <c r="T134" s="164"/>
      <c r="U134" s="164"/>
      <c r="V134" s="164"/>
      <c r="W134" s="164"/>
    </row>
    <row r="135" spans="1:23">
      <c r="A135" s="260" t="s">
        <v>176</v>
      </c>
      <c r="B135" s="232"/>
      <c r="C135" s="232"/>
      <c r="D135" s="270">
        <f>SUM(D134:E134)</f>
        <v>15487.876244404428</v>
      </c>
      <c r="E135" s="268"/>
      <c r="F135" s="264">
        <f>SUM('FY22 Final'!D134)</f>
        <v>18676.817931761401</v>
      </c>
      <c r="G135" s="200"/>
      <c r="O135" s="164"/>
      <c r="P135" s="164"/>
      <c r="Q135" s="164"/>
      <c r="R135" s="164"/>
      <c r="S135" s="164"/>
      <c r="T135" s="164"/>
      <c r="U135" s="164"/>
      <c r="V135" s="164"/>
      <c r="W135" s="164"/>
    </row>
    <row r="136" spans="1:23">
      <c r="A136" s="260" t="s">
        <v>177</v>
      </c>
      <c r="B136" s="232"/>
      <c r="C136" s="232"/>
      <c r="D136" s="270">
        <f>SUM(D135-F135)</f>
        <v>-3188.9416873569735</v>
      </c>
      <c r="E136" s="268"/>
      <c r="F136" s="254"/>
      <c r="G136" s="181"/>
      <c r="O136" s="164"/>
      <c r="P136" s="164"/>
      <c r="Q136" s="164"/>
      <c r="R136" s="164"/>
      <c r="S136" s="164"/>
      <c r="T136" s="164"/>
      <c r="U136" s="164"/>
      <c r="V136" s="164"/>
      <c r="W136" s="164"/>
    </row>
    <row r="137" spans="1:23">
      <c r="A137" s="229" t="s">
        <v>178</v>
      </c>
      <c r="B137" s="228"/>
      <c r="C137" s="228"/>
      <c r="D137" s="271">
        <f>SUM(D136/F135)</f>
        <v>-0.17074330857688166</v>
      </c>
      <c r="E137" s="269"/>
      <c r="F137" s="265"/>
      <c r="G137" s="214"/>
      <c r="O137" s="164"/>
      <c r="P137" s="164"/>
      <c r="Q137" s="164"/>
      <c r="R137" s="164"/>
      <c r="S137" s="164"/>
      <c r="T137" s="164"/>
      <c r="U137" s="164"/>
      <c r="V137" s="164"/>
      <c r="W137" s="164"/>
    </row>
  </sheetData>
  <mergeCells count="36">
    <mergeCell ref="A10:B10"/>
    <mergeCell ref="A11:B11"/>
    <mergeCell ref="D24:I24"/>
    <mergeCell ref="J24:O24"/>
    <mergeCell ref="D25:E25"/>
    <mergeCell ref="F25:G25"/>
    <mergeCell ref="H25:I25"/>
    <mergeCell ref="J25:K25"/>
    <mergeCell ref="L25:M25"/>
    <mergeCell ref="N25:O25"/>
    <mergeCell ref="D35:I35"/>
    <mergeCell ref="J35:O35"/>
    <mergeCell ref="D36:E36"/>
    <mergeCell ref="F36:G36"/>
    <mergeCell ref="J36:K36"/>
    <mergeCell ref="L36:M36"/>
    <mergeCell ref="H85:I85"/>
    <mergeCell ref="J85:K85"/>
    <mergeCell ref="L85:M85"/>
    <mergeCell ref="N85:O85"/>
    <mergeCell ref="K68:L68"/>
    <mergeCell ref="D84:I84"/>
    <mergeCell ref="J84:O84"/>
    <mergeCell ref="A76:B77"/>
    <mergeCell ref="C54:F54"/>
    <mergeCell ref="G54:J54"/>
    <mergeCell ref="C55:D55"/>
    <mergeCell ref="A58:B58"/>
    <mergeCell ref="C66:F66"/>
    <mergeCell ref="A68:C68"/>
    <mergeCell ref="D113:E113"/>
    <mergeCell ref="F113:G113"/>
    <mergeCell ref="D85:E85"/>
    <mergeCell ref="F85:G85"/>
    <mergeCell ref="C74:D74"/>
    <mergeCell ref="E74:F74"/>
  </mergeCells>
  <pageMargins left="0.7" right="0.7" top="0.75" bottom="0.75" header="0.3" footer="0.3"/>
  <pageSetup scale="59" orientation="landscape" verticalDpi="0" r:id="rId1"/>
  <rowBreaks count="2" manualBreakCount="2">
    <brk id="50" max="16383" man="1"/>
    <brk id="10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topLeftCell="A19" zoomScaleNormal="100" workbookViewId="0">
      <selection activeCell="C3" sqref="C3"/>
    </sheetView>
  </sheetViews>
  <sheetFormatPr defaultRowHeight="15"/>
  <cols>
    <col min="1" max="1" width="16.125" style="164" bestFit="1" customWidth="1"/>
    <col min="2" max="2" width="20.375" style="164" customWidth="1"/>
    <col min="3" max="3" width="30" style="164" bestFit="1" customWidth="1"/>
    <col min="4" max="6" width="9" style="164"/>
    <col min="7" max="7" width="12.625" style="362" bestFit="1" customWidth="1"/>
    <col min="8" max="8" width="14.375" style="362" bestFit="1" customWidth="1"/>
    <col min="9" max="9" width="9" style="164"/>
    <col min="10" max="10" width="10.125" style="164" bestFit="1" customWidth="1"/>
    <col min="11" max="11" width="13" style="164" bestFit="1" customWidth="1"/>
    <col min="12" max="16384" width="9" style="164"/>
  </cols>
  <sheetData>
    <row r="1" spans="1:11">
      <c r="A1" s="167" t="s">
        <v>285</v>
      </c>
    </row>
    <row r="2" spans="1:11" ht="15" customHeight="1">
      <c r="A2" s="167" t="s">
        <v>289</v>
      </c>
      <c r="G2" s="397" t="s">
        <v>286</v>
      </c>
      <c r="H2" s="398"/>
      <c r="I2" s="398"/>
      <c r="J2" s="398"/>
      <c r="K2" s="399"/>
    </row>
    <row r="3" spans="1:11">
      <c r="G3" s="400"/>
      <c r="H3" s="401"/>
      <c r="I3" s="401"/>
      <c r="J3" s="401"/>
      <c r="K3" s="402"/>
    </row>
    <row r="4" spans="1:11">
      <c r="G4" s="403"/>
      <c r="H4" s="404"/>
      <c r="I4" s="404"/>
      <c r="J4" s="404"/>
      <c r="K4" s="405"/>
    </row>
    <row r="5" spans="1:11" ht="45">
      <c r="A5" s="167" t="s">
        <v>230</v>
      </c>
      <c r="B5" s="167" t="s">
        <v>287</v>
      </c>
      <c r="C5" s="167" t="s">
        <v>249</v>
      </c>
      <c r="D5" s="167" t="s">
        <v>257</v>
      </c>
      <c r="E5" s="167"/>
      <c r="F5" s="167"/>
      <c r="G5" s="364" t="s">
        <v>237</v>
      </c>
      <c r="H5" s="364" t="s">
        <v>238</v>
      </c>
      <c r="I5" s="167" t="s">
        <v>148</v>
      </c>
      <c r="J5" s="373" t="s">
        <v>284</v>
      </c>
      <c r="K5" s="373" t="s">
        <v>283</v>
      </c>
    </row>
    <row r="6" spans="1:11">
      <c r="A6" s="164" t="s">
        <v>234</v>
      </c>
      <c r="B6" s="164" t="s">
        <v>235</v>
      </c>
      <c r="C6" s="164" t="s">
        <v>250</v>
      </c>
      <c r="D6" s="164">
        <v>42</v>
      </c>
      <c r="E6" s="164">
        <v>15</v>
      </c>
      <c r="F6" s="164" t="s">
        <v>236</v>
      </c>
      <c r="G6" s="362">
        <f>(D6*E6)</f>
        <v>630</v>
      </c>
      <c r="H6" s="362">
        <f>G6*365</f>
        <v>229950</v>
      </c>
      <c r="I6" s="164">
        <v>2</v>
      </c>
      <c r="J6" s="164" t="s">
        <v>235</v>
      </c>
      <c r="K6" s="164" t="s">
        <v>235</v>
      </c>
    </row>
    <row r="8" spans="1:11">
      <c r="A8" s="167" t="s">
        <v>231</v>
      </c>
    </row>
    <row r="9" spans="1:11">
      <c r="A9" s="164" t="s">
        <v>239</v>
      </c>
      <c r="B9" s="164" t="s">
        <v>43</v>
      </c>
      <c r="C9" s="164" t="s">
        <v>251</v>
      </c>
      <c r="D9" s="164">
        <v>1</v>
      </c>
      <c r="E9" s="164">
        <v>100</v>
      </c>
      <c r="F9" s="164" t="s">
        <v>263</v>
      </c>
      <c r="G9" s="362">
        <f t="shared" ref="G9:G22" si="0">(D9*E9)</f>
        <v>100</v>
      </c>
      <c r="H9" s="362">
        <f t="shared" ref="H9:H30" si="1">G9*365</f>
        <v>36500</v>
      </c>
      <c r="I9" s="164">
        <v>1</v>
      </c>
      <c r="J9" s="164" t="s">
        <v>43</v>
      </c>
      <c r="K9" s="164" t="s">
        <v>43</v>
      </c>
    </row>
    <row r="10" spans="1:11">
      <c r="A10" s="289" t="s">
        <v>240</v>
      </c>
      <c r="B10" s="289" t="s">
        <v>43</v>
      </c>
      <c r="C10" s="289" t="s">
        <v>251</v>
      </c>
      <c r="D10" s="289">
        <v>1</v>
      </c>
      <c r="E10" s="289">
        <v>100</v>
      </c>
      <c r="F10" s="289" t="s">
        <v>263</v>
      </c>
      <c r="G10" s="365">
        <f t="shared" si="0"/>
        <v>100</v>
      </c>
      <c r="H10" s="365">
        <f t="shared" si="1"/>
        <v>36500</v>
      </c>
      <c r="I10" s="289">
        <v>1</v>
      </c>
      <c r="J10" s="289" t="s">
        <v>235</v>
      </c>
      <c r="K10" s="289" t="s">
        <v>43</v>
      </c>
    </row>
    <row r="11" spans="1:11">
      <c r="A11" s="289" t="s">
        <v>240</v>
      </c>
      <c r="B11" s="289" t="s">
        <v>235</v>
      </c>
      <c r="C11" s="289" t="s">
        <v>252</v>
      </c>
      <c r="D11" s="289">
        <v>1</v>
      </c>
      <c r="E11" s="289"/>
      <c r="F11" s="289" t="s">
        <v>264</v>
      </c>
      <c r="G11" s="365">
        <f t="shared" si="0"/>
        <v>0</v>
      </c>
      <c r="H11" s="365">
        <f t="shared" si="1"/>
        <v>0</v>
      </c>
      <c r="I11" s="289">
        <v>1</v>
      </c>
      <c r="J11" s="289" t="s">
        <v>235</v>
      </c>
      <c r="K11" s="289" t="s">
        <v>235</v>
      </c>
    </row>
    <row r="12" spans="1:11">
      <c r="A12" s="164" t="s">
        <v>241</v>
      </c>
      <c r="B12" s="164" t="s">
        <v>43</v>
      </c>
      <c r="C12" s="164" t="s">
        <v>253</v>
      </c>
      <c r="D12" s="164">
        <v>1</v>
      </c>
      <c r="E12" s="164">
        <v>100</v>
      </c>
      <c r="F12" s="164" t="s">
        <v>263</v>
      </c>
      <c r="G12" s="362">
        <f t="shared" si="0"/>
        <v>100</v>
      </c>
      <c r="H12" s="362">
        <f t="shared" si="1"/>
        <v>36500</v>
      </c>
      <c r="I12" s="164">
        <v>1</v>
      </c>
      <c r="J12" s="164" t="s">
        <v>43</v>
      </c>
      <c r="K12" s="164" t="s">
        <v>43</v>
      </c>
    </row>
    <row r="13" spans="1:11">
      <c r="A13" s="164" t="s">
        <v>242</v>
      </c>
      <c r="B13" s="164" t="s">
        <v>43</v>
      </c>
      <c r="C13" s="164" t="s">
        <v>251</v>
      </c>
      <c r="D13" s="164">
        <v>1</v>
      </c>
      <c r="E13" s="164">
        <v>100</v>
      </c>
      <c r="F13" s="164" t="s">
        <v>263</v>
      </c>
      <c r="G13" s="362">
        <f t="shared" si="0"/>
        <v>100</v>
      </c>
      <c r="H13" s="362">
        <f t="shared" si="1"/>
        <v>36500</v>
      </c>
      <c r="I13" s="164">
        <v>1</v>
      </c>
      <c r="J13" s="164" t="s">
        <v>43</v>
      </c>
      <c r="K13" s="164" t="s">
        <v>43</v>
      </c>
    </row>
    <row r="14" spans="1:11">
      <c r="A14" s="164" t="s">
        <v>243</v>
      </c>
      <c r="B14" s="164" t="s">
        <v>43</v>
      </c>
      <c r="C14" s="164" t="s">
        <v>254</v>
      </c>
      <c r="D14" s="164">
        <v>2</v>
      </c>
      <c r="E14" s="164">
        <v>100</v>
      </c>
      <c r="F14" s="164" t="s">
        <v>263</v>
      </c>
      <c r="G14" s="362">
        <f t="shared" si="0"/>
        <v>200</v>
      </c>
      <c r="H14" s="362">
        <f t="shared" si="1"/>
        <v>73000</v>
      </c>
      <c r="I14" s="164">
        <v>2</v>
      </c>
      <c r="J14" s="164" t="s">
        <v>43</v>
      </c>
      <c r="K14" s="164" t="s">
        <v>43</v>
      </c>
    </row>
    <row r="15" spans="1:11">
      <c r="A15" s="164" t="s">
        <v>244</v>
      </c>
      <c r="B15" s="164" t="s">
        <v>43</v>
      </c>
      <c r="C15" s="164" t="s">
        <v>254</v>
      </c>
      <c r="D15" s="164">
        <v>2</v>
      </c>
      <c r="E15" s="164">
        <v>100</v>
      </c>
      <c r="F15" s="164" t="s">
        <v>263</v>
      </c>
      <c r="G15" s="362">
        <f t="shared" si="0"/>
        <v>200</v>
      </c>
      <c r="H15" s="362">
        <f t="shared" si="1"/>
        <v>73000</v>
      </c>
      <c r="I15" s="164">
        <v>2</v>
      </c>
      <c r="J15" s="164" t="s">
        <v>43</v>
      </c>
      <c r="K15" s="164" t="s">
        <v>43</v>
      </c>
    </row>
    <row r="16" spans="1:11">
      <c r="A16" s="164" t="s">
        <v>247</v>
      </c>
      <c r="B16" s="164" t="s">
        <v>235</v>
      </c>
      <c r="C16" s="164" t="s">
        <v>255</v>
      </c>
      <c r="D16" s="164">
        <v>20</v>
      </c>
      <c r="E16" s="164">
        <v>15</v>
      </c>
      <c r="F16" s="164" t="s">
        <v>236</v>
      </c>
      <c r="G16" s="362">
        <f t="shared" si="0"/>
        <v>300</v>
      </c>
      <c r="H16" s="362">
        <f t="shared" si="1"/>
        <v>109500</v>
      </c>
      <c r="I16" s="164">
        <v>1</v>
      </c>
      <c r="J16" s="164" t="s">
        <v>235</v>
      </c>
      <c r="K16" s="164" t="s">
        <v>235</v>
      </c>
    </row>
    <row r="17" spans="1:11">
      <c r="A17" s="289" t="s">
        <v>245</v>
      </c>
      <c r="B17" s="289" t="s">
        <v>235</v>
      </c>
      <c r="C17" s="289" t="s">
        <v>258</v>
      </c>
      <c r="D17" s="289">
        <v>8</v>
      </c>
      <c r="E17" s="289">
        <v>15</v>
      </c>
      <c r="F17" s="289" t="s">
        <v>236</v>
      </c>
      <c r="G17" s="365">
        <f t="shared" si="0"/>
        <v>120</v>
      </c>
      <c r="H17" s="365">
        <f t="shared" si="1"/>
        <v>43800</v>
      </c>
      <c r="I17" s="289">
        <v>1</v>
      </c>
      <c r="J17" s="289" t="s">
        <v>235</v>
      </c>
      <c r="K17" s="289" t="s">
        <v>235</v>
      </c>
    </row>
    <row r="18" spans="1:11">
      <c r="A18" s="289" t="s">
        <v>245</v>
      </c>
      <c r="B18" s="289" t="s">
        <v>235</v>
      </c>
      <c r="C18" s="289" t="s">
        <v>259</v>
      </c>
      <c r="D18" s="289">
        <v>40</v>
      </c>
      <c r="E18" s="289">
        <v>25</v>
      </c>
      <c r="F18" s="289" t="s">
        <v>265</v>
      </c>
      <c r="G18" s="365">
        <f t="shared" si="0"/>
        <v>1000</v>
      </c>
      <c r="H18" s="365">
        <f t="shared" si="1"/>
        <v>365000</v>
      </c>
      <c r="I18" s="289"/>
      <c r="J18" s="289" t="s">
        <v>235</v>
      </c>
      <c r="K18" s="289" t="s">
        <v>235</v>
      </c>
    </row>
    <row r="19" spans="1:11">
      <c r="A19" s="289" t="s">
        <v>245</v>
      </c>
      <c r="B19" s="289" t="s">
        <v>235</v>
      </c>
      <c r="C19" s="289" t="s">
        <v>260</v>
      </c>
      <c r="D19" s="289">
        <v>1</v>
      </c>
      <c r="E19" s="289">
        <v>400</v>
      </c>
      <c r="F19" s="289" t="s">
        <v>266</v>
      </c>
      <c r="G19" s="365">
        <f t="shared" si="0"/>
        <v>400</v>
      </c>
      <c r="H19" s="365">
        <f t="shared" si="1"/>
        <v>146000</v>
      </c>
      <c r="I19" s="289"/>
      <c r="J19" s="289" t="s">
        <v>235</v>
      </c>
      <c r="K19" s="289" t="s">
        <v>235</v>
      </c>
    </row>
    <row r="20" spans="1:11">
      <c r="A20" s="363" t="s">
        <v>246</v>
      </c>
      <c r="B20" s="363" t="s">
        <v>43</v>
      </c>
      <c r="C20" s="363" t="s">
        <v>256</v>
      </c>
      <c r="D20" s="363">
        <v>1</v>
      </c>
      <c r="E20" s="363">
        <v>100</v>
      </c>
      <c r="F20" s="363" t="s">
        <v>263</v>
      </c>
      <c r="G20" s="366">
        <f t="shared" si="0"/>
        <v>100</v>
      </c>
      <c r="H20" s="366">
        <f t="shared" si="1"/>
        <v>36500</v>
      </c>
      <c r="I20" s="363">
        <v>1</v>
      </c>
      <c r="J20" s="363" t="s">
        <v>235</v>
      </c>
      <c r="K20" s="363" t="s">
        <v>43</v>
      </c>
    </row>
    <row r="21" spans="1:11">
      <c r="A21" s="363" t="s">
        <v>248</v>
      </c>
      <c r="B21" s="363" t="s">
        <v>235</v>
      </c>
      <c r="C21" s="363" t="s">
        <v>261</v>
      </c>
      <c r="D21" s="363">
        <v>3</v>
      </c>
      <c r="E21" s="363">
        <v>35</v>
      </c>
      <c r="F21" s="363" t="s">
        <v>236</v>
      </c>
      <c r="G21" s="366">
        <f t="shared" si="0"/>
        <v>105</v>
      </c>
      <c r="H21" s="366">
        <f t="shared" si="1"/>
        <v>38325</v>
      </c>
      <c r="I21" s="363">
        <v>1</v>
      </c>
      <c r="J21" s="363" t="s">
        <v>235</v>
      </c>
      <c r="K21" s="363" t="s">
        <v>235</v>
      </c>
    </row>
    <row r="22" spans="1:11">
      <c r="A22" s="363" t="s">
        <v>248</v>
      </c>
      <c r="B22" s="363" t="s">
        <v>235</v>
      </c>
      <c r="C22" s="363" t="s">
        <v>262</v>
      </c>
      <c r="D22" s="363">
        <v>16</v>
      </c>
      <c r="E22" s="363">
        <v>10</v>
      </c>
      <c r="F22" s="363" t="s">
        <v>267</v>
      </c>
      <c r="G22" s="366">
        <f t="shared" si="0"/>
        <v>160</v>
      </c>
      <c r="H22" s="366">
        <f t="shared" si="1"/>
        <v>58400</v>
      </c>
      <c r="I22" s="363"/>
      <c r="J22" s="363" t="s">
        <v>235</v>
      </c>
      <c r="K22" s="363" t="s">
        <v>235</v>
      </c>
    </row>
    <row r="23" spans="1:11">
      <c r="G23" s="367"/>
      <c r="H23" s="367"/>
    </row>
    <row r="24" spans="1:11">
      <c r="A24" s="167" t="s">
        <v>232</v>
      </c>
      <c r="G24" s="367"/>
      <c r="H24" s="367"/>
    </row>
    <row r="25" spans="1:11">
      <c r="A25" s="289" t="s">
        <v>268</v>
      </c>
      <c r="B25" s="289" t="s">
        <v>272</v>
      </c>
      <c r="C25" s="289" t="s">
        <v>275</v>
      </c>
      <c r="D25" s="289">
        <v>1</v>
      </c>
      <c r="E25" s="289">
        <v>500</v>
      </c>
      <c r="F25" s="289" t="s">
        <v>278</v>
      </c>
      <c r="G25" s="365">
        <f t="shared" ref="G25:G30" si="2">(D25*E25)</f>
        <v>500</v>
      </c>
      <c r="H25" s="365">
        <f t="shared" si="1"/>
        <v>182500</v>
      </c>
      <c r="I25" s="289">
        <v>1</v>
      </c>
      <c r="J25" s="289" t="s">
        <v>235</v>
      </c>
      <c r="K25" s="289" t="s">
        <v>235</v>
      </c>
    </row>
    <row r="26" spans="1:11">
      <c r="A26" s="289" t="s">
        <v>268</v>
      </c>
      <c r="B26" s="289" t="s">
        <v>272</v>
      </c>
      <c r="C26" s="289" t="s">
        <v>276</v>
      </c>
      <c r="D26" s="289">
        <v>3</v>
      </c>
      <c r="E26" s="289">
        <v>300</v>
      </c>
      <c r="F26" s="289" t="s">
        <v>278</v>
      </c>
      <c r="G26" s="365">
        <f t="shared" si="2"/>
        <v>900</v>
      </c>
      <c r="H26" s="365">
        <f t="shared" si="1"/>
        <v>328500</v>
      </c>
      <c r="I26" s="289"/>
      <c r="J26" s="289" t="s">
        <v>235</v>
      </c>
      <c r="K26" s="289" t="s">
        <v>235</v>
      </c>
    </row>
    <row r="27" spans="1:11">
      <c r="A27" s="289" t="s">
        <v>268</v>
      </c>
      <c r="B27" s="289" t="s">
        <v>272</v>
      </c>
      <c r="C27" s="289" t="s">
        <v>233</v>
      </c>
      <c r="D27" s="289">
        <v>6</v>
      </c>
      <c r="E27" s="289">
        <v>15</v>
      </c>
      <c r="F27" s="289" t="s">
        <v>236</v>
      </c>
      <c r="G27" s="365">
        <f t="shared" si="2"/>
        <v>90</v>
      </c>
      <c r="H27" s="365">
        <f t="shared" si="1"/>
        <v>32850</v>
      </c>
      <c r="I27" s="289"/>
      <c r="J27" s="289" t="s">
        <v>235</v>
      </c>
      <c r="K27" s="289" t="s">
        <v>235</v>
      </c>
    </row>
    <row r="28" spans="1:11">
      <c r="A28" s="164" t="s">
        <v>269</v>
      </c>
      <c r="B28" s="164" t="s">
        <v>273</v>
      </c>
      <c r="C28" s="164" t="s">
        <v>233</v>
      </c>
      <c r="D28" s="164">
        <v>8</v>
      </c>
      <c r="E28" s="164">
        <v>15</v>
      </c>
      <c r="F28" s="164" t="s">
        <v>236</v>
      </c>
      <c r="G28" s="367">
        <f>(D28*E28)</f>
        <v>120</v>
      </c>
      <c r="H28" s="367">
        <f t="shared" si="1"/>
        <v>43800</v>
      </c>
      <c r="I28" s="164">
        <v>1</v>
      </c>
      <c r="J28" s="164" t="s">
        <v>235</v>
      </c>
      <c r="K28" s="164" t="s">
        <v>235</v>
      </c>
    </row>
    <row r="29" spans="1:11">
      <c r="A29" s="164" t="s">
        <v>270</v>
      </c>
      <c r="B29" s="164" t="s">
        <v>273</v>
      </c>
      <c r="C29" s="164" t="s">
        <v>233</v>
      </c>
      <c r="D29" s="164">
        <v>10</v>
      </c>
      <c r="E29" s="164">
        <v>15</v>
      </c>
      <c r="F29" s="164" t="s">
        <v>236</v>
      </c>
      <c r="G29" s="367">
        <f t="shared" si="2"/>
        <v>150</v>
      </c>
      <c r="H29" s="367">
        <f t="shared" si="1"/>
        <v>54750</v>
      </c>
      <c r="I29" s="164">
        <v>1</v>
      </c>
      <c r="J29" s="164" t="s">
        <v>235</v>
      </c>
      <c r="K29" s="164" t="s">
        <v>235</v>
      </c>
    </row>
    <row r="30" spans="1:11">
      <c r="A30" s="164" t="s">
        <v>271</v>
      </c>
      <c r="B30" s="164" t="s">
        <v>274</v>
      </c>
      <c r="C30" s="164" t="s">
        <v>277</v>
      </c>
      <c r="D30" s="164">
        <v>148</v>
      </c>
      <c r="E30" s="164">
        <v>142</v>
      </c>
      <c r="F30" s="164" t="s">
        <v>279</v>
      </c>
      <c r="G30" s="367">
        <f t="shared" si="2"/>
        <v>21016</v>
      </c>
      <c r="H30" s="367">
        <f t="shared" si="1"/>
        <v>7670840</v>
      </c>
      <c r="I30" s="164">
        <v>148</v>
      </c>
      <c r="J30" s="164" t="s">
        <v>43</v>
      </c>
      <c r="K30" s="164" t="s">
        <v>43</v>
      </c>
    </row>
    <row r="32" spans="1:11">
      <c r="F32" s="368" t="s">
        <v>280</v>
      </c>
      <c r="G32" s="369"/>
      <c r="H32" s="369">
        <f>SUMIF(J6:J30, "Residential", H6:H30)</f>
        <v>7926340</v>
      </c>
      <c r="I32" s="368">
        <f>SUMIF(K6:K30, "Residential", I6:I30)</f>
        <v>157</v>
      </c>
    </row>
    <row r="33" spans="6:9">
      <c r="F33" s="368" t="s">
        <v>281</v>
      </c>
      <c r="G33" s="369"/>
      <c r="H33" s="369">
        <f>SUMIF(J6:J30, "Commercial", H6:H30)</f>
        <v>1706375</v>
      </c>
      <c r="I33" s="368">
        <f>SUMIF(K6:K30, "Commercial", I6:I30)</f>
        <v>9</v>
      </c>
    </row>
  </sheetData>
  <mergeCells count="1">
    <mergeCell ref="G2:K4"/>
  </mergeCells>
  <pageMargins left="0.7" right="0.7" top="0.75" bottom="0.75" header="0.3" footer="0.3"/>
  <pageSetup scale="73"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topLeftCell="A48" zoomScaleNormal="100" workbookViewId="0">
      <selection activeCell="C56" sqref="C5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217</v>
      </c>
      <c r="B1" s="189"/>
      <c r="C1" s="189"/>
      <c r="D1" s="189"/>
      <c r="O1" s="165"/>
      <c r="P1" s="165"/>
    </row>
    <row r="2" spans="1:16" s="164" customFormat="1">
      <c r="A2" s="166" t="s">
        <v>218</v>
      </c>
      <c r="O2" s="165"/>
      <c r="P2" s="165"/>
    </row>
    <row r="3" spans="1:16" s="164" customFormat="1">
      <c r="A3" s="328" t="s">
        <v>205</v>
      </c>
      <c r="B3" s="328"/>
      <c r="C3" s="328"/>
      <c r="O3" s="165"/>
      <c r="P3" s="165"/>
    </row>
    <row r="4" spans="1:16" s="164" customFormat="1">
      <c r="A4" s="351" t="s">
        <v>225</v>
      </c>
      <c r="B4" s="351"/>
      <c r="C4" s="352"/>
      <c r="O4" s="165"/>
      <c r="P4" s="165"/>
    </row>
    <row r="5" spans="1:16" s="164" customFormat="1">
      <c r="A5" s="347"/>
      <c r="B5" s="166"/>
      <c r="C5" s="166"/>
      <c r="O5" s="165"/>
      <c r="P5"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40" t="s">
        <v>2</v>
      </c>
      <c r="E8" s="340" t="s">
        <v>26</v>
      </c>
      <c r="F8" s="339" t="s">
        <v>136</v>
      </c>
      <c r="O8" s="165"/>
      <c r="P8" s="165"/>
    </row>
    <row r="9" spans="1:16" s="164" customFormat="1">
      <c r="A9" s="393" t="s">
        <v>199</v>
      </c>
      <c r="B9" s="394"/>
      <c r="C9" s="170"/>
      <c r="D9" s="345">
        <v>358965</v>
      </c>
      <c r="E9" s="178">
        <v>606387</v>
      </c>
      <c r="F9" s="179">
        <f>D9+E9</f>
        <v>965352</v>
      </c>
      <c r="O9" s="165"/>
      <c r="P9" s="165"/>
    </row>
    <row r="10" spans="1:16" s="164" customFormat="1">
      <c r="A10" s="395" t="s">
        <v>219</v>
      </c>
      <c r="B10" s="396"/>
      <c r="C10" s="232"/>
      <c r="D10" s="319">
        <v>379492</v>
      </c>
      <c r="E10" s="319">
        <v>789537</v>
      </c>
      <c r="F10" s="292">
        <f>D10+E10</f>
        <v>1169029</v>
      </c>
      <c r="O10" s="165"/>
      <c r="P10" s="165"/>
    </row>
    <row r="11" spans="1:16" s="164" customFormat="1">
      <c r="A11" s="190" t="s">
        <v>220</v>
      </c>
      <c r="B11" s="191"/>
      <c r="C11" s="170"/>
      <c r="D11" s="178">
        <f>D10-D9</f>
        <v>20527</v>
      </c>
      <c r="E11" s="178">
        <f>E10-E9</f>
        <v>183150</v>
      </c>
      <c r="F11" s="179">
        <f>D11+E11</f>
        <v>203677</v>
      </c>
      <c r="O11" s="165"/>
      <c r="P11" s="165"/>
    </row>
    <row r="12" spans="1:16" s="164" customFormat="1">
      <c r="A12" s="192" t="s">
        <v>221</v>
      </c>
      <c r="B12" s="193"/>
      <c r="C12" s="186"/>
      <c r="D12" s="175">
        <f>D11/D9</f>
        <v>5.7183848007465912E-2</v>
      </c>
      <c r="E12" s="175">
        <f>E11/E9</f>
        <v>0.30203483913738255</v>
      </c>
      <c r="F12" s="176">
        <f>F11/F9</f>
        <v>0.21098728753863877</v>
      </c>
      <c r="O12" s="165"/>
      <c r="P12" s="165"/>
    </row>
    <row r="13" spans="1:16" s="164" customFormat="1">
      <c r="O13" s="165"/>
      <c r="P13"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546.30177854165663</v>
      </c>
      <c r="N19" s="165"/>
      <c r="O19" s="165"/>
    </row>
    <row r="20" spans="1:16" s="164" customFormat="1">
      <c r="A20" s="171" t="s">
        <v>195</v>
      </c>
      <c r="B20" s="170"/>
      <c r="C20" s="170"/>
      <c r="D20" s="170"/>
      <c r="E20" s="170"/>
      <c r="F20" s="200">
        <f>SUM(D91)*0.5</f>
        <v>318.3089711830799</v>
      </c>
      <c r="N20" s="165"/>
      <c r="O20" s="165"/>
    </row>
    <row r="21" spans="1:16" s="164" customFormat="1">
      <c r="A21" s="174" t="s">
        <v>196</v>
      </c>
      <c r="B21" s="186"/>
      <c r="C21" s="186"/>
      <c r="D21" s="186"/>
      <c r="E21" s="186"/>
      <c r="F21" s="201">
        <f>SUM(J91)*0.5</f>
        <v>237.52251240941595</v>
      </c>
      <c r="N21" s="165"/>
      <c r="O21" s="165"/>
    </row>
    <row r="22" spans="1:16" s="164" customFormat="1">
      <c r="N22" s="165"/>
      <c r="O22" s="165"/>
    </row>
    <row r="23" spans="1:16" s="164" customFormat="1">
      <c r="A23" s="347"/>
      <c r="D23" s="382" t="s">
        <v>2</v>
      </c>
      <c r="E23" s="383"/>
      <c r="F23" s="383"/>
      <c r="G23" s="383"/>
      <c r="H23" s="383"/>
      <c r="I23" s="383"/>
      <c r="J23" s="392" t="s">
        <v>26</v>
      </c>
      <c r="K23" s="383"/>
      <c r="L23" s="383"/>
      <c r="M23" s="383"/>
      <c r="N23" s="383"/>
      <c r="O23" s="384"/>
    </row>
    <row r="24" spans="1:16" s="164" customFormat="1">
      <c r="A24" s="347"/>
      <c r="D24" s="378" t="s">
        <v>219</v>
      </c>
      <c r="E24" s="379"/>
      <c r="F24" s="378" t="s">
        <v>199</v>
      </c>
      <c r="G24" s="379"/>
      <c r="H24" s="378" t="s">
        <v>222</v>
      </c>
      <c r="I24" s="389"/>
      <c r="J24" s="390" t="s">
        <v>219</v>
      </c>
      <c r="K24" s="379"/>
      <c r="L24" s="378" t="s">
        <v>199</v>
      </c>
      <c r="M24" s="379"/>
      <c r="N24" s="378" t="s">
        <v>222</v>
      </c>
      <c r="O24" s="379"/>
    </row>
    <row r="25" spans="1:16" s="164" customFormat="1" ht="30">
      <c r="A25" s="34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348" t="s">
        <v>14</v>
      </c>
      <c r="B26" s="169"/>
      <c r="C26" s="169"/>
      <c r="D26" s="180"/>
      <c r="E26" s="177"/>
      <c r="F26" s="180"/>
      <c r="G26" s="177"/>
      <c r="H26" s="180"/>
      <c r="I26" s="169"/>
      <c r="J26" s="253"/>
      <c r="K26" s="177"/>
      <c r="L26" s="180"/>
      <c r="M26" s="177"/>
      <c r="N26" s="336"/>
      <c r="O26" s="338"/>
      <c r="P26" s="165"/>
    </row>
    <row r="27" spans="1:16" s="164" customFormat="1">
      <c r="A27" s="349"/>
      <c r="B27" s="170" t="s">
        <v>145</v>
      </c>
      <c r="C27" s="170"/>
      <c r="D27" s="171"/>
      <c r="E27" s="181"/>
      <c r="F27" s="171"/>
      <c r="G27" s="181"/>
      <c r="H27" s="171"/>
      <c r="I27" s="170"/>
      <c r="J27" s="326">
        <v>546.25</v>
      </c>
      <c r="K27" s="234">
        <f>SUM(J59*J27)</f>
        <v>546.25</v>
      </c>
      <c r="L27" s="216">
        <f>SUM('FY21 Final'!J27)</f>
        <v>663.6</v>
      </c>
      <c r="M27" s="234">
        <f>SUM('FY21 Final'!K27)</f>
        <v>663.6</v>
      </c>
      <c r="N27" s="244">
        <f>SUM(J27-L27)</f>
        <v>-117.35000000000002</v>
      </c>
      <c r="O27" s="240">
        <f>SUM(N27/L27)</f>
        <v>-0.17683845690174807</v>
      </c>
    </row>
    <row r="28" spans="1:16" s="164" customFormat="1">
      <c r="A28" s="349"/>
      <c r="B28" s="170" t="s">
        <v>158</v>
      </c>
      <c r="C28" s="170"/>
      <c r="D28" s="171"/>
      <c r="E28" s="181"/>
      <c r="F28" s="171"/>
      <c r="G28" s="181"/>
      <c r="H28" s="171"/>
      <c r="I28" s="170"/>
      <c r="J28" s="254"/>
      <c r="K28" s="234">
        <f>SUM(K29-K27)</f>
        <v>6153.75</v>
      </c>
      <c r="L28" s="216"/>
      <c r="M28" s="234">
        <f>SUM('FY21 Final'!K28)</f>
        <v>6036.4</v>
      </c>
      <c r="N28" s="343"/>
      <c r="O28" s="184"/>
    </row>
    <row r="29" spans="1:16" s="164" customFormat="1">
      <c r="A29" s="298"/>
      <c r="B29" s="228" t="s">
        <v>160</v>
      </c>
      <c r="C29" s="228"/>
      <c r="D29" s="229"/>
      <c r="E29" s="231"/>
      <c r="F29" s="229"/>
      <c r="G29" s="231"/>
      <c r="H29" s="229"/>
      <c r="I29" s="228"/>
      <c r="J29" s="252"/>
      <c r="K29" s="325">
        <v>6700</v>
      </c>
      <c r="L29" s="243"/>
      <c r="M29" s="238">
        <f>SUM(M27:M28)</f>
        <v>6700</v>
      </c>
      <c r="N29" s="245"/>
      <c r="O29" s="242"/>
    </row>
    <row r="30" spans="1:16" s="164" customFormat="1">
      <c r="A30" s="350" t="s">
        <v>159</v>
      </c>
      <c r="B30" s="170"/>
      <c r="C30" s="170"/>
      <c r="D30" s="171"/>
      <c r="E30" s="273"/>
      <c r="F30" s="171"/>
      <c r="G30" s="181"/>
      <c r="H30" s="171"/>
      <c r="I30" s="170"/>
      <c r="J30" s="254"/>
      <c r="K30" s="234"/>
      <c r="L30" s="171"/>
      <c r="M30" s="234"/>
      <c r="N30" s="343"/>
      <c r="O30" s="184"/>
    </row>
    <row r="31" spans="1:16" s="164" customFormat="1">
      <c r="A31" s="349"/>
      <c r="B31" s="170" t="s">
        <v>145</v>
      </c>
      <c r="C31" s="170"/>
      <c r="D31" s="327">
        <v>318.31</v>
      </c>
      <c r="E31" s="234">
        <f>SUM(D31*F60)</f>
        <v>1273.24</v>
      </c>
      <c r="F31" s="216">
        <f>SUM('FY21 Final'!D31)</f>
        <v>318.29000000000002</v>
      </c>
      <c r="G31" s="234">
        <f>SUM('FY21 Final'!E31)</f>
        <v>1273.1600000000001</v>
      </c>
      <c r="H31" s="216">
        <f>SUM(D31-F31)</f>
        <v>1.999999999998181E-2</v>
      </c>
      <c r="I31" s="182">
        <f>SUM(H31/F31)</f>
        <v>6.2835778692330293E-5</v>
      </c>
      <c r="J31" s="326">
        <v>237.52</v>
      </c>
      <c r="K31" s="234">
        <f>SUM(J31*J60)</f>
        <v>712.56000000000006</v>
      </c>
      <c r="L31" s="216">
        <f>SUM('FY21 Final'!J31)</f>
        <v>288.52</v>
      </c>
      <c r="M31" s="234">
        <f>SUM('FY21 Final'!K31)</f>
        <v>865.56</v>
      </c>
      <c r="N31" s="244">
        <f>SUM(J31-L31)</f>
        <v>-50.999999999999972</v>
      </c>
      <c r="O31" s="240">
        <f>SUM(N31/L31)</f>
        <v>-0.17676417579370571</v>
      </c>
    </row>
    <row r="32" spans="1:16" s="164" customFormat="1">
      <c r="A32" s="298"/>
      <c r="B32" s="228" t="s">
        <v>160</v>
      </c>
      <c r="C32" s="228"/>
      <c r="D32" s="229"/>
      <c r="E32" s="238">
        <f>SUM(E31)</f>
        <v>1273.24</v>
      </c>
      <c r="F32" s="243"/>
      <c r="G32" s="238">
        <f>SUM(G31)</f>
        <v>1273.1600000000001</v>
      </c>
      <c r="H32" s="229"/>
      <c r="I32" s="228"/>
      <c r="J32" s="252"/>
      <c r="K32" s="238">
        <f>SUM(K31)</f>
        <v>712.56000000000006</v>
      </c>
      <c r="L32" s="243"/>
      <c r="M32" s="238">
        <f>SUM(M31)</f>
        <v>865.56</v>
      </c>
      <c r="N32" s="245"/>
      <c r="O32" s="242"/>
    </row>
    <row r="33" spans="1:16" s="164" customFormat="1">
      <c r="D33" s="274"/>
      <c r="E33" s="188"/>
      <c r="G33" s="188"/>
      <c r="K33" s="188"/>
      <c r="M33" s="188"/>
      <c r="N33" s="165"/>
      <c r="O33" s="165"/>
    </row>
    <row r="34" spans="1:16" s="164" customFormat="1" ht="18.75">
      <c r="A34" s="287" t="s">
        <v>179</v>
      </c>
      <c r="D34" s="382" t="s">
        <v>2</v>
      </c>
      <c r="E34" s="383"/>
      <c r="F34" s="383"/>
      <c r="G34" s="383"/>
      <c r="H34" s="383"/>
      <c r="I34" s="383"/>
      <c r="J34" s="392" t="s">
        <v>26</v>
      </c>
      <c r="K34" s="383"/>
      <c r="L34" s="383"/>
      <c r="M34" s="383"/>
      <c r="N34" s="383"/>
      <c r="O34" s="384"/>
    </row>
    <row r="35" spans="1:16" s="164" customFormat="1">
      <c r="B35" s="170"/>
      <c r="C35" s="170"/>
      <c r="D35" s="378" t="s">
        <v>219</v>
      </c>
      <c r="E35" s="379"/>
      <c r="F35" s="378" t="s">
        <v>199</v>
      </c>
      <c r="G35" s="379"/>
      <c r="H35" s="210"/>
      <c r="I35" s="211"/>
      <c r="J35" s="390" t="s">
        <v>219</v>
      </c>
      <c r="K35" s="379"/>
      <c r="L35" s="378" t="s">
        <v>199</v>
      </c>
      <c r="M35" s="379"/>
      <c r="N35" s="344"/>
      <c r="O35" s="184"/>
    </row>
    <row r="36" spans="1:16" s="164" customFormat="1">
      <c r="B36" s="170"/>
      <c r="C36" s="170"/>
      <c r="D36" s="171"/>
      <c r="E36" s="181" t="s">
        <v>151</v>
      </c>
      <c r="F36" s="171"/>
      <c r="G36" s="181" t="s">
        <v>151</v>
      </c>
      <c r="H36" s="221"/>
      <c r="I36" s="221"/>
      <c r="J36" s="254"/>
      <c r="K36" s="181" t="s">
        <v>151</v>
      </c>
      <c r="L36" s="171"/>
      <c r="M36" s="181" t="s">
        <v>151</v>
      </c>
      <c r="N36" s="344"/>
      <c r="O36" s="184"/>
    </row>
    <row r="37" spans="1:16" s="164" customFormat="1">
      <c r="A37" s="180"/>
      <c r="B37" s="169" t="s">
        <v>161</v>
      </c>
      <c r="C37" s="169"/>
      <c r="D37" s="180"/>
      <c r="E37" s="322">
        <v>1500</v>
      </c>
      <c r="F37" s="180"/>
      <c r="G37" s="247">
        <v>1500</v>
      </c>
      <c r="H37" s="246"/>
      <c r="I37" s="185"/>
      <c r="J37" s="253"/>
      <c r="K37" s="322"/>
      <c r="L37" s="180"/>
      <c r="M37" s="247"/>
      <c r="N37" s="344"/>
      <c r="O37" s="184"/>
    </row>
    <row r="38" spans="1:16" s="164" customFormat="1">
      <c r="A38" s="171"/>
      <c r="B38" s="170" t="s">
        <v>162</v>
      </c>
      <c r="C38" s="170"/>
      <c r="D38" s="171"/>
      <c r="E38" s="323">
        <v>50432</v>
      </c>
      <c r="F38" s="217"/>
      <c r="G38" s="346">
        <v>49641</v>
      </c>
      <c r="H38" s="215"/>
      <c r="I38" s="182"/>
      <c r="J38" s="254"/>
      <c r="K38" s="323"/>
      <c r="L38" s="171"/>
      <c r="M38" s="234"/>
      <c r="N38" s="344"/>
      <c r="O38" s="184"/>
    </row>
    <row r="39" spans="1:16" s="164" customFormat="1">
      <c r="A39" s="171"/>
      <c r="B39" s="170" t="s">
        <v>180</v>
      </c>
      <c r="C39" s="170"/>
      <c r="D39" s="171"/>
      <c r="E39" s="324"/>
      <c r="F39" s="171"/>
      <c r="G39" s="181"/>
      <c r="H39" s="215"/>
      <c r="I39" s="182"/>
      <c r="J39" s="254"/>
      <c r="K39" s="323">
        <v>430000</v>
      </c>
      <c r="L39" s="171"/>
      <c r="M39" s="234">
        <v>200000</v>
      </c>
      <c r="N39" s="344"/>
      <c r="O39" s="184"/>
    </row>
    <row r="40" spans="1:16" s="164" customFormat="1">
      <c r="A40" s="171"/>
      <c r="B40" s="170" t="s">
        <v>181</v>
      </c>
      <c r="C40" s="170"/>
      <c r="D40" s="171"/>
      <c r="E40" s="323"/>
      <c r="F40" s="233"/>
      <c r="G40" s="234">
        <v>0</v>
      </c>
      <c r="H40" s="215"/>
      <c r="I40" s="182"/>
      <c r="J40" s="255"/>
      <c r="K40" s="323"/>
      <c r="L40" s="233"/>
      <c r="M40" s="234">
        <v>0</v>
      </c>
      <c r="N40" s="344"/>
      <c r="O40" s="184"/>
    </row>
    <row r="41" spans="1:16" s="164" customFormat="1">
      <c r="A41" s="171"/>
      <c r="B41" s="170" t="s">
        <v>163</v>
      </c>
      <c r="C41" s="170"/>
      <c r="D41" s="171"/>
      <c r="E41" s="323">
        <v>500</v>
      </c>
      <c r="F41" s="233"/>
      <c r="G41" s="234">
        <v>500</v>
      </c>
      <c r="H41" s="215"/>
      <c r="I41" s="182"/>
      <c r="J41" s="255"/>
      <c r="K41" s="323">
        <v>1000</v>
      </c>
      <c r="L41" s="233"/>
      <c r="M41" s="234">
        <v>1000</v>
      </c>
      <c r="N41" s="344"/>
      <c r="O41" s="184"/>
    </row>
    <row r="42" spans="1:16" s="164" customFormat="1">
      <c r="A42" s="171"/>
      <c r="B42" s="170" t="s">
        <v>182</v>
      </c>
      <c r="C42" s="170"/>
      <c r="D42" s="171"/>
      <c r="E42" s="323"/>
      <c r="F42" s="233"/>
      <c r="G42" s="234">
        <v>0</v>
      </c>
      <c r="H42" s="215"/>
      <c r="I42" s="182"/>
      <c r="J42" s="255"/>
      <c r="K42" s="323"/>
      <c r="L42" s="233"/>
      <c r="M42" s="234">
        <v>0</v>
      </c>
      <c r="N42" s="344"/>
      <c r="O42" s="184"/>
    </row>
    <row r="43" spans="1:16" s="164" customFormat="1">
      <c r="A43" s="171"/>
      <c r="B43" s="170" t="s">
        <v>164</v>
      </c>
      <c r="C43" s="170"/>
      <c r="D43" s="171"/>
      <c r="E43" s="323">
        <v>500</v>
      </c>
      <c r="F43" s="233"/>
      <c r="G43" s="234">
        <v>1500</v>
      </c>
      <c r="H43" s="215"/>
      <c r="I43" s="182"/>
      <c r="J43" s="255"/>
      <c r="K43" s="323">
        <v>1200</v>
      </c>
      <c r="L43" s="233"/>
      <c r="M43" s="234">
        <v>3500</v>
      </c>
      <c r="N43" s="344"/>
      <c r="O43" s="184"/>
    </row>
    <row r="44" spans="1:16" s="164" customFormat="1">
      <c r="A44" s="171"/>
      <c r="B44" s="170"/>
      <c r="C44" s="170"/>
      <c r="D44" s="171"/>
      <c r="E44" s="324"/>
      <c r="F44" s="171"/>
      <c r="G44" s="181"/>
      <c r="H44" s="170"/>
      <c r="I44" s="170"/>
      <c r="J44" s="254"/>
      <c r="K44" s="324"/>
      <c r="L44" s="171"/>
      <c r="M44" s="181"/>
      <c r="N44" s="344"/>
      <c r="O44" s="184"/>
    </row>
    <row r="45" spans="1:16" s="164" customFormat="1">
      <c r="A45" s="174"/>
      <c r="B45" s="228" t="s">
        <v>165</v>
      </c>
      <c r="C45" s="228"/>
      <c r="D45" s="229"/>
      <c r="E45" s="238">
        <f>SUM(E37:E43)</f>
        <v>52932</v>
      </c>
      <c r="F45" s="248"/>
      <c r="G45" s="238">
        <f>SUM(G37:G43)</f>
        <v>53141</v>
      </c>
      <c r="H45" s="230"/>
      <c r="I45" s="230"/>
      <c r="J45" s="256"/>
      <c r="K45" s="238">
        <f>SUM(K37:K43)</f>
        <v>432200</v>
      </c>
      <c r="L45" s="248"/>
      <c r="M45" s="238">
        <f>SUM(M37:M43)</f>
        <v>204500</v>
      </c>
      <c r="N45" s="257"/>
      <c r="O45" s="258"/>
    </row>
    <row r="47" spans="1:16" s="164" customFormat="1">
      <c r="A47" s="288" t="s">
        <v>189</v>
      </c>
      <c r="B47" s="289"/>
      <c r="C47" s="289"/>
      <c r="D47" s="289"/>
      <c r="E47" s="290">
        <f>SUM(E29+E32+E45)</f>
        <v>54205.24</v>
      </c>
      <c r="F47" s="290"/>
      <c r="G47" s="290">
        <f>SUM(G29+G32+G45)</f>
        <v>54414.16</v>
      </c>
      <c r="H47" s="290"/>
      <c r="I47" s="290"/>
      <c r="J47" s="290"/>
      <c r="K47" s="290">
        <f>SUM(K29+K32+K45)</f>
        <v>439612.56</v>
      </c>
      <c r="L47" s="290"/>
      <c r="M47" s="290">
        <f>SUM(M29+M32+M45)</f>
        <v>212065.56</v>
      </c>
      <c r="O47" s="165"/>
      <c r="P47" s="165"/>
    </row>
    <row r="48" spans="1:16" s="164" customFormat="1">
      <c r="A48" s="288" t="s">
        <v>190</v>
      </c>
      <c r="B48" s="289"/>
      <c r="C48" s="289"/>
      <c r="D48" s="289"/>
      <c r="E48" s="290">
        <f>SUM(D10-E47)</f>
        <v>325286.76</v>
      </c>
      <c r="F48" s="289"/>
      <c r="G48" s="290">
        <f>SUM(D9-G47)</f>
        <v>304550.83999999997</v>
      </c>
      <c r="H48" s="289"/>
      <c r="I48" s="289"/>
      <c r="J48" s="289"/>
      <c r="K48" s="290">
        <f>SUM(E10-K47)</f>
        <v>349924.44</v>
      </c>
      <c r="L48" s="289"/>
      <c r="M48" s="290">
        <f>SUM(E9-M47)</f>
        <v>394321.44</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82" t="s">
        <v>2</v>
      </c>
      <c r="D53" s="383"/>
      <c r="E53" s="383"/>
      <c r="F53" s="384"/>
      <c r="G53" s="382" t="s">
        <v>26</v>
      </c>
      <c r="H53" s="383"/>
      <c r="I53" s="383"/>
      <c r="J53" s="384"/>
    </row>
    <row r="54" spans="1:12" s="164" customFormat="1" ht="60">
      <c r="A54" s="180"/>
      <c r="B54" s="169"/>
      <c r="C54" s="385"/>
      <c r="D54" s="386"/>
      <c r="E54" s="204" t="s">
        <v>172</v>
      </c>
      <c r="F54" s="181"/>
      <c r="G54" s="210"/>
      <c r="H54" s="211"/>
      <c r="I54" s="204" t="s">
        <v>172</v>
      </c>
      <c r="J54" s="181"/>
    </row>
    <row r="55" spans="1:12" s="164" customFormat="1">
      <c r="A55" s="171"/>
      <c r="B55" s="170"/>
      <c r="C55" s="342" t="s">
        <v>140</v>
      </c>
      <c r="D55" s="341" t="s">
        <v>141</v>
      </c>
      <c r="E55" s="220">
        <v>0.98</v>
      </c>
      <c r="F55" s="205" t="s">
        <v>148</v>
      </c>
      <c r="G55" s="342" t="s">
        <v>140</v>
      </c>
      <c r="H55" s="341" t="s">
        <v>141</v>
      </c>
      <c r="I55" s="220">
        <v>0.98</v>
      </c>
      <c r="J55" s="219" t="s">
        <v>148</v>
      </c>
    </row>
    <row r="56" spans="1:12" s="164" customFormat="1">
      <c r="A56" s="171" t="s">
        <v>43</v>
      </c>
      <c r="B56" s="170"/>
      <c r="C56" s="320">
        <v>9124300</v>
      </c>
      <c r="D56" s="172">
        <f>C56/C$61</f>
        <v>0.55508374042597197</v>
      </c>
      <c r="E56" s="202">
        <f>SUM(C56*$E$55)</f>
        <v>8941814</v>
      </c>
      <c r="F56" s="329">
        <v>426</v>
      </c>
      <c r="G56" s="320">
        <v>9058300</v>
      </c>
      <c r="H56" s="172">
        <f>G56/G$61</f>
        <v>0.68387754331659811</v>
      </c>
      <c r="I56" s="202">
        <f>SUM(G56*$E$55)</f>
        <v>8877134</v>
      </c>
      <c r="J56" s="324">
        <v>423</v>
      </c>
    </row>
    <row r="57" spans="1:12" s="164" customFormat="1">
      <c r="A57" s="387" t="s">
        <v>132</v>
      </c>
      <c r="B57" s="388"/>
      <c r="C57" s="320">
        <v>6452800</v>
      </c>
      <c r="D57" s="173">
        <f>C57/C$61</f>
        <v>0.39256100306003883</v>
      </c>
      <c r="E57" s="202">
        <f>SUM(C57*$E$55)</f>
        <v>6323744</v>
      </c>
      <c r="F57" s="329">
        <v>76</v>
      </c>
      <c r="G57" s="321">
        <v>3326600</v>
      </c>
      <c r="H57" s="173">
        <f>G57/G$61</f>
        <v>0.25114944698199387</v>
      </c>
      <c r="I57" s="202">
        <f>SUM(G57*$E$55)</f>
        <v>3260068</v>
      </c>
      <c r="J57" s="324">
        <v>74</v>
      </c>
    </row>
    <row r="58" spans="1:12" s="164" customFormat="1">
      <c r="A58" s="171" t="s">
        <v>133</v>
      </c>
      <c r="B58" s="170"/>
      <c r="C58" s="320">
        <v>860600</v>
      </c>
      <c r="D58" s="172">
        <f>C58/C$61</f>
        <v>5.235525651398918E-2</v>
      </c>
      <c r="E58" s="202">
        <f>SUM(C58*$E$55)</f>
        <v>843388</v>
      </c>
      <c r="F58" s="329">
        <v>3</v>
      </c>
      <c r="G58" s="320">
        <v>860600</v>
      </c>
      <c r="H58" s="172">
        <f>G58/G$61</f>
        <v>6.4973009701408027E-2</v>
      </c>
      <c r="I58" s="202">
        <f>SUM(G58*$E$55)</f>
        <v>843388</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16437700</v>
      </c>
      <c r="D61" s="175">
        <f>SUM(D56:D58)</f>
        <v>1</v>
      </c>
      <c r="E61" s="203">
        <f>SUM(C61*$E$55)</f>
        <v>16108946</v>
      </c>
      <c r="F61" s="209"/>
      <c r="G61" s="208">
        <f>SUM(G56:G58)</f>
        <v>13245500</v>
      </c>
      <c r="H61" s="175">
        <f>G61/G$61</f>
        <v>1</v>
      </c>
      <c r="I61" s="203">
        <f>SUM(G61*$E$55)</f>
        <v>12980590</v>
      </c>
      <c r="J61" s="214"/>
    </row>
    <row r="64" spans="1:12" s="164" customFormat="1">
      <c r="A64" s="167" t="s">
        <v>157</v>
      </c>
      <c r="H64" s="167" t="s">
        <v>183</v>
      </c>
      <c r="I64" s="167"/>
      <c r="J64" s="167"/>
      <c r="K64" s="167"/>
      <c r="L64" s="167"/>
    </row>
    <row r="65" spans="1:12" s="164" customFormat="1">
      <c r="A65" s="167"/>
      <c r="C65" s="378" t="s">
        <v>2</v>
      </c>
      <c r="D65" s="389"/>
      <c r="E65" s="389"/>
      <c r="F65" s="379"/>
      <c r="H65" s="167" t="s">
        <v>184</v>
      </c>
      <c r="I65" s="167"/>
      <c r="J65" s="167"/>
      <c r="K65" s="167"/>
      <c r="L65" s="167"/>
    </row>
    <row r="66" spans="1:12" s="164" customFormat="1">
      <c r="A66" s="180"/>
      <c r="B66" s="169"/>
      <c r="C66" s="169"/>
      <c r="D66" s="169" t="s">
        <v>156</v>
      </c>
      <c r="E66" s="169" t="s">
        <v>224</v>
      </c>
      <c r="F66" s="177" t="s">
        <v>202</v>
      </c>
      <c r="H66" s="167" t="s">
        <v>185</v>
      </c>
      <c r="I66" s="167"/>
      <c r="J66" s="167"/>
      <c r="K66" s="167"/>
      <c r="L66" s="167"/>
    </row>
    <row r="67" spans="1:12" s="164" customFormat="1">
      <c r="A67" s="387" t="s">
        <v>43</v>
      </c>
      <c r="B67" s="388"/>
      <c r="C67" s="388"/>
      <c r="D67" s="182">
        <f>SUM(-(K68)*5/100)</f>
        <v>-2.9287543894563176E-2</v>
      </c>
      <c r="E67" s="182">
        <f>SUM(D56+D67)</f>
        <v>0.52579619653140874</v>
      </c>
      <c r="F67" s="195">
        <f>SUM('FY21 Final'!E67)</f>
        <v>0.50933526181149502</v>
      </c>
      <c r="J67" s="286" t="s">
        <v>186</v>
      </c>
      <c r="K67" s="383" t="s">
        <v>187</v>
      </c>
      <c r="L67" s="384"/>
    </row>
    <row r="68" spans="1:12" s="164" customFormat="1">
      <c r="A68" s="190" t="s">
        <v>132</v>
      </c>
      <c r="B68" s="191"/>
      <c r="C68" s="170"/>
      <c r="D68" s="182">
        <f>SUM(-(K69)*5/100)</f>
        <v>-2.0712456105436827E-2</v>
      </c>
      <c r="E68" s="182">
        <f>SUM(D57+D68)</f>
        <v>0.37184854695460201</v>
      </c>
      <c r="F68" s="195">
        <f>SUM('FY21 Final'!E68)</f>
        <v>0.38668543974112146</v>
      </c>
      <c r="H68" s="168" t="s">
        <v>43</v>
      </c>
      <c r="I68" s="169"/>
      <c r="J68" s="284">
        <f>SUM(C56)</f>
        <v>9124300</v>
      </c>
      <c r="K68" s="185">
        <f>SUM(J68/J70)</f>
        <v>0.58575087789126346</v>
      </c>
      <c r="L68" s="177"/>
    </row>
    <row r="69" spans="1:12" s="164" customFormat="1">
      <c r="A69" s="171" t="s">
        <v>206</v>
      </c>
      <c r="B69" s="170"/>
      <c r="C69" s="170"/>
      <c r="D69" s="182">
        <v>0.05</v>
      </c>
      <c r="E69" s="182">
        <f>SUM(D58+D69)</f>
        <v>0.10235525651398919</v>
      </c>
      <c r="F69" s="195">
        <f>SUM('FY21 Final'!E69)</f>
        <v>0.10397929844738356</v>
      </c>
      <c r="H69" s="241" t="s">
        <v>132</v>
      </c>
      <c r="I69" s="170"/>
      <c r="J69" s="202">
        <f>SUM(C57)</f>
        <v>6452800</v>
      </c>
      <c r="K69" s="182">
        <f>SUM(J69/J70)</f>
        <v>0.41424912210873654</v>
      </c>
      <c r="L69" s="181"/>
    </row>
    <row r="70" spans="1:12" s="164" customFormat="1">
      <c r="A70" s="174" t="s">
        <v>142</v>
      </c>
      <c r="B70" s="186"/>
      <c r="C70" s="186"/>
      <c r="D70" s="186"/>
      <c r="E70" s="196">
        <f>SUM(E67:E69)</f>
        <v>1</v>
      </c>
      <c r="F70" s="197">
        <f>SUM(F67:F69)</f>
        <v>1</v>
      </c>
      <c r="H70" s="285" t="s">
        <v>142</v>
      </c>
      <c r="I70" s="186"/>
      <c r="J70" s="203">
        <f>SUM(J68:J69)</f>
        <v>15577100</v>
      </c>
      <c r="K70" s="186"/>
      <c r="L70" s="214"/>
    </row>
    <row r="72" spans="1:12" s="164" customFormat="1">
      <c r="A72" s="167" t="s">
        <v>143</v>
      </c>
    </row>
    <row r="73" spans="1:12" s="164" customFormat="1">
      <c r="A73" s="194"/>
      <c r="B73" s="170"/>
      <c r="C73" s="374" t="s">
        <v>219</v>
      </c>
      <c r="D73" s="377"/>
      <c r="E73" s="374" t="s">
        <v>199</v>
      </c>
      <c r="F73" s="377"/>
    </row>
    <row r="74" spans="1:12" s="164" customFormat="1">
      <c r="A74" s="180"/>
      <c r="B74" s="169"/>
      <c r="C74" s="168" t="s">
        <v>2</v>
      </c>
      <c r="D74" s="198" t="s">
        <v>26</v>
      </c>
      <c r="E74" s="168" t="s">
        <v>2</v>
      </c>
      <c r="F74" s="198" t="s">
        <v>26</v>
      </c>
    </row>
    <row r="75" spans="1:12" s="164" customFormat="1">
      <c r="A75" s="380" t="s">
        <v>191</v>
      </c>
      <c r="B75" s="381"/>
      <c r="C75" s="233">
        <f>SUM(E48)</f>
        <v>325286.76</v>
      </c>
      <c r="D75" s="234">
        <f>SUM(K48)</f>
        <v>349924.44</v>
      </c>
      <c r="E75" s="309">
        <f>SUM(G48)</f>
        <v>304550.83999999997</v>
      </c>
      <c r="F75" s="200">
        <f>SUM(M48)</f>
        <v>394321.44</v>
      </c>
    </row>
    <row r="76" spans="1:12" s="164" customFormat="1">
      <c r="A76" s="380"/>
      <c r="B76" s="381"/>
      <c r="C76" s="233"/>
      <c r="D76" s="234"/>
      <c r="E76" s="217"/>
      <c r="F76" s="200"/>
    </row>
    <row r="77" spans="1:12" s="164" customFormat="1">
      <c r="A77" s="171" t="s">
        <v>43</v>
      </c>
      <c r="B77" s="170"/>
      <c r="C77" s="216">
        <f>SUM($C$75)*E67</f>
        <v>171034.54119002519</v>
      </c>
      <c r="D77" s="200">
        <f>SUM($D$75)*H56</f>
        <v>239305.46637363633</v>
      </c>
      <c r="E77" s="218">
        <f>SUM('FY21 Final'!C77)</f>
        <v>155118.48182631072</v>
      </c>
      <c r="F77" s="200">
        <f>SUM('FY21 Final'!D77)</f>
        <v>263747.54634889489</v>
      </c>
    </row>
    <row r="78" spans="1:12" s="164" customFormat="1">
      <c r="A78" s="171" t="s">
        <v>132</v>
      </c>
      <c r="B78" s="170"/>
      <c r="C78" s="216">
        <f>SUM($C$75)*E68</f>
        <v>120957.40904957036</v>
      </c>
      <c r="D78" s="200">
        <f>SUM($D$75)*H57</f>
        <v>87883.329591483896</v>
      </c>
      <c r="E78" s="218">
        <f>SUM('FY21 Final'!C78)</f>
        <v>117765.37548892791</v>
      </c>
      <c r="F78" s="200">
        <f>SUM('FY21 Final'!D78)</f>
        <v>103873.74247908129</v>
      </c>
    </row>
    <row r="79" spans="1:12" s="164" customFormat="1">
      <c r="A79" s="174" t="s">
        <v>133</v>
      </c>
      <c r="B79" s="186"/>
      <c r="C79" s="296">
        <f>SUM($C$75)*E69</f>
        <v>33294.809760404438</v>
      </c>
      <c r="D79" s="201">
        <f>SUM($D$75)*H58</f>
        <v>22735.64403487977</v>
      </c>
      <c r="E79" s="297">
        <f>SUM('FY21 Final'!C79)</f>
        <v>31666.982684761355</v>
      </c>
      <c r="F79" s="201">
        <f>SUM('FY21 Final'!D79)</f>
        <v>26700.151172023776</v>
      </c>
    </row>
    <row r="81" spans="1:23" ht="23.25">
      <c r="A81" s="295" t="s">
        <v>144</v>
      </c>
    </row>
    <row r="82" spans="1:23" ht="23.25">
      <c r="A82" s="295"/>
    </row>
    <row r="83" spans="1:23">
      <c r="A83" s="167"/>
      <c r="C83" s="180"/>
      <c r="D83" s="382" t="s">
        <v>2</v>
      </c>
      <c r="E83" s="383"/>
      <c r="F83" s="383"/>
      <c r="G83" s="383"/>
      <c r="H83" s="383"/>
      <c r="I83" s="383"/>
      <c r="J83" s="392" t="s">
        <v>26</v>
      </c>
      <c r="K83" s="383"/>
      <c r="L83" s="383"/>
      <c r="M83" s="383"/>
      <c r="N83" s="383"/>
      <c r="O83" s="384"/>
      <c r="P83" s="164"/>
    </row>
    <row r="84" spans="1:23">
      <c r="C84" s="171"/>
      <c r="D84" s="378" t="s">
        <v>219</v>
      </c>
      <c r="E84" s="379"/>
      <c r="F84" s="378" t="s">
        <v>199</v>
      </c>
      <c r="G84" s="379"/>
      <c r="H84" s="378" t="s">
        <v>222</v>
      </c>
      <c r="I84" s="389"/>
      <c r="J84" s="390" t="s">
        <v>219</v>
      </c>
      <c r="K84" s="379"/>
      <c r="L84" s="378" t="s">
        <v>199</v>
      </c>
      <c r="M84" s="379"/>
      <c r="N84" s="386" t="s">
        <v>222</v>
      </c>
      <c r="O84" s="391"/>
      <c r="P84" s="164"/>
    </row>
    <row r="85" spans="1:23" ht="51.75" customHeight="1">
      <c r="C85" s="171" t="s">
        <v>146</v>
      </c>
      <c r="D85" s="235" t="s">
        <v>150</v>
      </c>
      <c r="E85" s="181" t="s">
        <v>151</v>
      </c>
      <c r="F85" s="235" t="s">
        <v>150</v>
      </c>
      <c r="G85" s="181" t="s">
        <v>210</v>
      </c>
      <c r="H85" s="235" t="s">
        <v>154</v>
      </c>
      <c r="I85" s="221" t="s">
        <v>155</v>
      </c>
      <c r="J85" s="249" t="s">
        <v>150</v>
      </c>
      <c r="K85" s="181" t="s">
        <v>151</v>
      </c>
      <c r="L85" s="235" t="s">
        <v>150</v>
      </c>
      <c r="M85" s="181" t="s">
        <v>151</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120.44685999297549</v>
      </c>
      <c r="E87" s="234">
        <f>SUM(D87*F56)</f>
        <v>51310.362357007558</v>
      </c>
      <c r="F87" s="237">
        <f>SUM('FY21 Final'!D87)</f>
        <v>111.32905394232827</v>
      </c>
      <c r="G87" s="234">
        <f>SUM('FY21 Final'!E87)</f>
        <v>46535.544547893216</v>
      </c>
      <c r="H87" s="216">
        <f>SUM(D87-F87)</f>
        <v>9.1178060506472178</v>
      </c>
      <c r="I87" s="183">
        <f>SUM(H87/F87)</f>
        <v>8.189960956077566E-2</v>
      </c>
      <c r="J87" s="305">
        <f>SUM(D77*C87)/J56</f>
        <v>169.72018891747254</v>
      </c>
      <c r="K87" s="234">
        <f>SUM(J87*J56)</f>
        <v>71791.63991209089</v>
      </c>
      <c r="L87" s="237">
        <f>SUM('FY21 Final'!J87)</f>
        <v>190.66087687871919</v>
      </c>
      <c r="M87" s="234">
        <f>SUM('FY21 Final'!K87)</f>
        <v>79124.263904668464</v>
      </c>
      <c r="N87" s="199">
        <f>SUM(J87-L87)</f>
        <v>-20.940687961246653</v>
      </c>
      <c r="O87" s="224">
        <f>SUM(N87/L87)</f>
        <v>-0.10983211817790589</v>
      </c>
      <c r="P87" s="164"/>
    </row>
    <row r="88" spans="1:23">
      <c r="A88" s="171"/>
      <c r="B88" s="170" t="s">
        <v>147</v>
      </c>
      <c r="C88" s="223">
        <v>0.7</v>
      </c>
      <c r="D88" s="304">
        <f>SUM(C77*C88)/(E56*0.001)</f>
        <v>13.389249522861649</v>
      </c>
      <c r="E88" s="234">
        <f>SUM(D88)*(E56*0.001)</f>
        <v>119724.17883301762</v>
      </c>
      <c r="F88" s="237">
        <f>SUM('FY21 Final'!D88)</f>
        <v>11.848123913578632</v>
      </c>
      <c r="G88" s="234">
        <f>SUM('FY21 Final'!E88)</f>
        <v>108582.93727841749</v>
      </c>
      <c r="H88" s="216">
        <f>SUM(D88-F88)</f>
        <v>1.5411256092830161</v>
      </c>
      <c r="I88" s="183">
        <f>SUM(H88/F88)</f>
        <v>0.13007338718974717</v>
      </c>
      <c r="J88" s="305">
        <f>SUM(D77*C88)/(I56*0.001)</f>
        <v>18.870259980478544</v>
      </c>
      <c r="K88" s="234">
        <f>SUM(J88)*(I56*0.001)</f>
        <v>167513.82646154542</v>
      </c>
      <c r="L88" s="216">
        <f>SUM('FY21 Final'!J88)</f>
        <v>20.316966604288428</v>
      </c>
      <c r="M88" s="234">
        <f>SUM('FY21 Final'!K88)</f>
        <v>184623.28244422641</v>
      </c>
      <c r="N88" s="199">
        <f>SUM(J88-L88)</f>
        <v>-1.4467066238098845</v>
      </c>
      <c r="O88" s="224">
        <f t="shared" ref="O88:O96" si="0">SUM(N88/L88)</f>
        <v>-7.1206821962512809E-2</v>
      </c>
      <c r="P88" s="164"/>
    </row>
    <row r="89" spans="1:23" s="166" customFormat="1">
      <c r="A89" s="298"/>
      <c r="B89" s="299" t="s">
        <v>160</v>
      </c>
      <c r="C89" s="298"/>
      <c r="D89" s="298"/>
      <c r="E89" s="300">
        <f>SUM(E87:E88)</f>
        <v>171034.54119002516</v>
      </c>
      <c r="F89" s="298"/>
      <c r="G89" s="300">
        <f>SUM(G87:G88)</f>
        <v>155118.48182631072</v>
      </c>
      <c r="H89" s="298"/>
      <c r="I89" s="299"/>
      <c r="J89" s="301"/>
      <c r="K89" s="300">
        <f>SUM(K87:K88)</f>
        <v>239305.46637363633</v>
      </c>
      <c r="L89" s="298"/>
      <c r="M89" s="300">
        <f>SUM(M87:M88)</f>
        <v>263747.54634889489</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37"/>
      <c r="O90" s="224"/>
      <c r="P90" s="164"/>
    </row>
    <row r="91" spans="1:23">
      <c r="A91" s="171"/>
      <c r="B91" s="170" t="s">
        <v>145</v>
      </c>
      <c r="C91" s="223">
        <v>0.4</v>
      </c>
      <c r="D91" s="304">
        <f>SUM(C78*C91)/F57</f>
        <v>636.61794236615981</v>
      </c>
      <c r="E91" s="234">
        <f>SUM(D91*F57)</f>
        <v>48382.963619828144</v>
      </c>
      <c r="F91" s="237">
        <f>SUM('FY21 Final'!D91)</f>
        <v>636.56959723744819</v>
      </c>
      <c r="G91" s="234">
        <f>SUM('FY21 Final'!E91)</f>
        <v>47106.150195571165</v>
      </c>
      <c r="H91" s="216">
        <f>SUM(D91-F91)</f>
        <v>4.834512871161678E-2</v>
      </c>
      <c r="I91" s="183">
        <f>SUM(H91/F91)</f>
        <v>7.5946336302302949E-5</v>
      </c>
      <c r="J91" s="305">
        <f>SUM(D78*C91)/J57</f>
        <v>475.04502481883191</v>
      </c>
      <c r="K91" s="234">
        <f>SUM(J91*J57)</f>
        <v>35153.331836593563</v>
      </c>
      <c r="L91" s="237">
        <f>SUM('FY21 Final'!J91)</f>
        <v>577.07634710600723</v>
      </c>
      <c r="M91" s="234">
        <f>SUM('FY21 Final'!K91)</f>
        <v>41549.496991632521</v>
      </c>
      <c r="N91" s="199">
        <f>SUM(J91-L91)</f>
        <v>-102.03132228717533</v>
      </c>
      <c r="O91" s="224">
        <f t="shared" si="0"/>
        <v>-0.17680731986132239</v>
      </c>
      <c r="P91" s="164"/>
    </row>
    <row r="92" spans="1:23">
      <c r="A92" s="171"/>
      <c r="B92" s="170" t="s">
        <v>147</v>
      </c>
      <c r="C92" s="223">
        <v>0.6</v>
      </c>
      <c r="D92" s="304">
        <f>SUM(C78*C92)/(E57*0.001)</f>
        <v>11.476499591024274</v>
      </c>
      <c r="E92" s="234">
        <f>SUM(D92)*(E57*0.001)</f>
        <v>72574.445429742205</v>
      </c>
      <c r="F92" s="216">
        <f>SUM('FY21 Final'!D92)</f>
        <v>10.155534783067399</v>
      </c>
      <c r="G92" s="234">
        <f>SUM('FY21 Final'!E92)</f>
        <v>70659.225293356736</v>
      </c>
      <c r="H92" s="216">
        <f>SUM(D92-F92)</f>
        <v>1.3209648079568748</v>
      </c>
      <c r="I92" s="183">
        <f>SUM(H92/F92)</f>
        <v>0.13007338718974756</v>
      </c>
      <c r="J92" s="305">
        <f>SUM(D78*C92)/(I57*0.001)</f>
        <v>16.174508554695894</v>
      </c>
      <c r="K92" s="234">
        <f>SUM(J92)*(I57*0.001)</f>
        <v>52729.997754890341</v>
      </c>
      <c r="L92" s="216">
        <f>SUM('FY21 Final'!J92)</f>
        <v>17.414542803675797</v>
      </c>
      <c r="M92" s="234">
        <f>SUM('FY21 Final'!K92)</f>
        <v>62324.245487448774</v>
      </c>
      <c r="N92" s="199">
        <f>SUM(J92-L92)</f>
        <v>-1.240034248979903</v>
      </c>
      <c r="O92" s="224">
        <f t="shared" si="0"/>
        <v>-7.120682196251292E-2</v>
      </c>
      <c r="P92" s="164"/>
    </row>
    <row r="93" spans="1:23" s="166" customFormat="1">
      <c r="A93" s="298"/>
      <c r="B93" s="299" t="s">
        <v>160</v>
      </c>
      <c r="C93" s="298"/>
      <c r="D93" s="298"/>
      <c r="E93" s="300">
        <f>SUM(E91:E92)</f>
        <v>120957.40904957036</v>
      </c>
      <c r="F93" s="298"/>
      <c r="G93" s="300">
        <f>SUM(G91:G92)</f>
        <v>117765.37548892791</v>
      </c>
      <c r="H93" s="298"/>
      <c r="I93" s="299"/>
      <c r="J93" s="301"/>
      <c r="K93" s="300">
        <f>SUM(K91:K92)</f>
        <v>87883.329591483896</v>
      </c>
      <c r="L93" s="298"/>
      <c r="M93" s="300">
        <f>SUM(M91:M92)</f>
        <v>103873.74247908129</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37"/>
      <c r="O94" s="224"/>
      <c r="P94" s="164"/>
    </row>
    <row r="95" spans="1:23">
      <c r="A95" s="171"/>
      <c r="B95" s="170" t="s">
        <v>145</v>
      </c>
      <c r="C95" s="223">
        <v>0.5</v>
      </c>
      <c r="D95" s="304">
        <f>SUM(C79*C95)/F58</f>
        <v>5549.1349600674066</v>
      </c>
      <c r="E95" s="234">
        <f>SUM(D95*F58)</f>
        <v>16647.404880202219</v>
      </c>
      <c r="F95" s="237">
        <f>SUM('FY21 Final'!D95)</f>
        <v>5277.8304474602255</v>
      </c>
      <c r="G95" s="234">
        <f>SUM('FY21 Final'!E95)</f>
        <v>15833.491342380676</v>
      </c>
      <c r="H95" s="216">
        <f>SUM(D95-F95)</f>
        <v>271.3045126071811</v>
      </c>
      <c r="I95" s="183">
        <f>SUM(H95/F95)</f>
        <v>5.1404552553926217E-2</v>
      </c>
      <c r="J95" s="305">
        <f>SUM(D79*C95)/J58</f>
        <v>3789.2740058132949</v>
      </c>
      <c r="K95" s="234">
        <f>SUM(J95*J58)</f>
        <v>11367.822017439885</v>
      </c>
      <c r="L95" s="237">
        <f>SUM('FY21 Final'!J95)</f>
        <v>4450.0251953372963</v>
      </c>
      <c r="M95" s="234">
        <f>SUM('FY21 Final'!K95)</f>
        <v>13350.075586011888</v>
      </c>
      <c r="N95" s="199">
        <f>SUM(J95-L95)</f>
        <v>-660.75118952400135</v>
      </c>
      <c r="O95" s="224">
        <f t="shared" si="0"/>
        <v>-0.14848257268662918</v>
      </c>
      <c r="P95" s="164"/>
    </row>
    <row r="96" spans="1:23">
      <c r="A96" s="171"/>
      <c r="B96" s="170" t="s">
        <v>147</v>
      </c>
      <c r="C96" s="223">
        <v>0.5</v>
      </c>
      <c r="D96" s="304">
        <f>SUM(C79*C96)/(E58*0.001)</f>
        <v>19.738726280433465</v>
      </c>
      <c r="E96" s="234">
        <f>SUM(D96)*(E58*0.001)</f>
        <v>16647.404880202219</v>
      </c>
      <c r="F96" s="216">
        <f>SUM('FY21 Final'!D96)</f>
        <v>17.211701095936714</v>
      </c>
      <c r="G96" s="234">
        <f>SUM('FY21 Final'!E96)</f>
        <v>15833.491342380679</v>
      </c>
      <c r="H96" s="216">
        <f>SUM(D96-F96)</f>
        <v>2.5270251844967504</v>
      </c>
      <c r="I96" s="183">
        <f>SUM(H96/F96)</f>
        <v>0.14682018763928703</v>
      </c>
      <c r="J96" s="305">
        <f>SUM(D79*C96)/(I58*0.001)</f>
        <v>13.478757128913246</v>
      </c>
      <c r="K96" s="234">
        <f>SUM(J96)*(I58*0.001)</f>
        <v>11367.822017439885</v>
      </c>
      <c r="L96" s="216">
        <f>SUM('FY21 Final'!J96)</f>
        <v>14.512119003063168</v>
      </c>
      <c r="M96" s="234">
        <f>SUM('FY21 Final'!K96)</f>
        <v>13350.075586011888</v>
      </c>
      <c r="N96" s="199">
        <f>SUM(J96-L96)</f>
        <v>-1.0333618741499215</v>
      </c>
      <c r="O96" s="224">
        <f t="shared" si="0"/>
        <v>-7.1206821962513059E-2</v>
      </c>
      <c r="P96" s="164"/>
    </row>
    <row r="97" spans="1:23" s="166" customFormat="1">
      <c r="A97" s="298"/>
      <c r="B97" s="299" t="s">
        <v>160</v>
      </c>
      <c r="C97" s="298"/>
      <c r="D97" s="298"/>
      <c r="E97" s="300">
        <f>SUM(E95:E96)</f>
        <v>33294.809760404438</v>
      </c>
      <c r="F97" s="298"/>
      <c r="G97" s="300">
        <f>SUM(G95:G96)</f>
        <v>31666.982684761355</v>
      </c>
      <c r="H97" s="298"/>
      <c r="I97" s="299"/>
      <c r="J97" s="301"/>
      <c r="K97" s="300">
        <f>SUM(K95:K96)</f>
        <v>22735.64403487977</v>
      </c>
      <c r="L97" s="298"/>
      <c r="M97" s="300">
        <f>SUM(M95:M96)</f>
        <v>26700.151172023776</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169045.97085703793</v>
      </c>
      <c r="H103" s="234">
        <f>SUM(K87+K91+K95+K27+K32+(0.5*K39)+K41+K43)</f>
        <v>336771.60376612435</v>
      </c>
    </row>
    <row r="104" spans="1:23">
      <c r="A104" s="171" t="s">
        <v>171</v>
      </c>
      <c r="B104" s="170"/>
      <c r="C104" s="170"/>
      <c r="D104" s="170"/>
      <c r="E104" s="170"/>
      <c r="F104" s="170"/>
      <c r="G104" s="233">
        <f>SUM(E88+E92+E96+E37)</f>
        <v>210446.02914296204</v>
      </c>
      <c r="H104" s="234">
        <f>SUM(K88+K92+K96+K28+(0.5*K39))</f>
        <v>452765.39623387565</v>
      </c>
    </row>
    <row r="105" spans="1:23">
      <c r="A105" s="260" t="s">
        <v>142</v>
      </c>
      <c r="B105" s="232"/>
      <c r="C105" s="232"/>
      <c r="D105" s="232"/>
      <c r="E105" s="232"/>
      <c r="F105" s="232"/>
      <c r="G105" s="261">
        <f>SUM(G103:G104)</f>
        <v>379492</v>
      </c>
      <c r="H105" s="262">
        <f>SUM(H103:H104)</f>
        <v>789537</v>
      </c>
    </row>
    <row r="106" spans="1:23">
      <c r="A106" s="171" t="s">
        <v>207</v>
      </c>
      <c r="B106" s="170"/>
      <c r="C106" s="170"/>
      <c r="D106" s="170"/>
      <c r="E106" s="170"/>
      <c r="F106" s="170"/>
      <c r="G106" s="233">
        <f>SUM(D10-G105)</f>
        <v>0</v>
      </c>
      <c r="H106" s="234">
        <f>SUM(E10-H105)</f>
        <v>0</v>
      </c>
    </row>
    <row r="107" spans="1:23" ht="17.25" customHeight="1">
      <c r="A107" s="171" t="s">
        <v>169</v>
      </c>
      <c r="B107" s="170"/>
      <c r="C107" s="170"/>
      <c r="D107" s="170"/>
      <c r="E107" s="170"/>
      <c r="F107" s="170"/>
      <c r="G107" s="331">
        <v>199376</v>
      </c>
      <c r="H107" s="323">
        <v>163302</v>
      </c>
    </row>
    <row r="108" spans="1:23" ht="17.25" customHeight="1">
      <c r="A108" s="174" t="s">
        <v>208</v>
      </c>
      <c r="B108" s="186"/>
      <c r="C108" s="186"/>
      <c r="D108" s="186"/>
      <c r="E108" s="186"/>
      <c r="F108" s="186"/>
      <c r="G108" s="259">
        <f>SUM(1-(G107-G103)/G107)</f>
        <v>0.84787522498714951</v>
      </c>
      <c r="H108" s="197">
        <f>SUM(1-(H107-H103)/H107)</f>
        <v>2.0622625795527574</v>
      </c>
    </row>
    <row r="111" spans="1:23" ht="23.25">
      <c r="A111" s="295" t="s">
        <v>174</v>
      </c>
    </row>
    <row r="112" spans="1:23">
      <c r="D112" s="374" t="s">
        <v>219</v>
      </c>
      <c r="E112" s="375"/>
      <c r="F112" s="376" t="s">
        <v>199</v>
      </c>
      <c r="G112" s="377"/>
    </row>
    <row r="113" spans="1:7" s="164" customFormat="1">
      <c r="D113" s="343" t="s">
        <v>2</v>
      </c>
      <c r="E113" s="344"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281.04267331694274</v>
      </c>
      <c r="E115" s="267">
        <f>SUM((I56/J56)/1000)*J88</f>
        <v>396.01377414076933</v>
      </c>
      <c r="F115" s="264">
        <f>SUM('FY21 Final'!D115)</f>
        <v>259.76779253209929</v>
      </c>
      <c r="G115" s="200">
        <f>SUM('FY21 Final'!E115)</f>
        <v>444.87537938367802</v>
      </c>
    </row>
    <row r="116" spans="1:7" s="164" customFormat="1">
      <c r="A116" s="171" t="s">
        <v>175</v>
      </c>
      <c r="B116" s="170"/>
      <c r="C116" s="170"/>
      <c r="D116" s="216">
        <f>SUM(D87)</f>
        <v>120.44685999297549</v>
      </c>
      <c r="E116" s="267">
        <f>SUM(J87)</f>
        <v>169.72018891747254</v>
      </c>
      <c r="F116" s="264">
        <f>SUM('FY21 Final'!D116)</f>
        <v>111.32905394232827</v>
      </c>
      <c r="G116" s="200">
        <f>SUM('FY21 Final'!E116)</f>
        <v>190.66087687871919</v>
      </c>
    </row>
    <row r="117" spans="1:7" s="164" customFormat="1">
      <c r="A117" s="171" t="s">
        <v>142</v>
      </c>
      <c r="B117" s="170"/>
      <c r="C117" s="170"/>
      <c r="D117" s="216">
        <f>SUM(D115:D116)</f>
        <v>401.48953330991822</v>
      </c>
      <c r="E117" s="267">
        <f>SUM(E115:E116)</f>
        <v>565.7339630582419</v>
      </c>
      <c r="F117" s="264">
        <f>SUM('FY21 Final'!D117)</f>
        <v>371.09684647442759</v>
      </c>
      <c r="G117" s="200">
        <f>SUM('FY21 Final'!E117)</f>
        <v>635.53625626239727</v>
      </c>
    </row>
    <row r="118" spans="1:7" s="164" customFormat="1">
      <c r="A118" s="260" t="s">
        <v>176</v>
      </c>
      <c r="B118" s="232"/>
      <c r="C118" s="232"/>
      <c r="D118" s="270">
        <f>SUM(D117:E117)</f>
        <v>967.22349636816011</v>
      </c>
      <c r="E118" s="268"/>
      <c r="F118" s="264">
        <f>SUM('FY21 Final'!D118)</f>
        <v>1006.6331027368249</v>
      </c>
      <c r="G118" s="200"/>
    </row>
    <row r="119" spans="1:7" s="164" customFormat="1">
      <c r="A119" s="260" t="s">
        <v>177</v>
      </c>
      <c r="B119" s="232"/>
      <c r="C119" s="232"/>
      <c r="D119" s="270">
        <f>SUM(D118-F118)</f>
        <v>-39.409606368664754</v>
      </c>
      <c r="E119" s="268"/>
      <c r="F119" s="254"/>
      <c r="G119" s="181"/>
    </row>
    <row r="120" spans="1:7" s="164" customFormat="1">
      <c r="A120" s="229" t="s">
        <v>178</v>
      </c>
      <c r="B120" s="228"/>
      <c r="C120" s="228"/>
      <c r="D120" s="271">
        <f>SUM(D119/F118)</f>
        <v>-3.9149920921056812E-2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954.92691354923943</v>
      </c>
      <c r="E123" s="267">
        <f>SUM((I57/J57)/1000)*J92</f>
        <v>712.56753722824783</v>
      </c>
      <c r="F123" s="264">
        <f>SUM('FY21 Final'!D123)</f>
        <v>954.85439585617223</v>
      </c>
      <c r="G123" s="200">
        <f>SUM('FY21 Final'!E123)</f>
        <v>865.61452065901062</v>
      </c>
    </row>
    <row r="124" spans="1:7" s="164" customFormat="1">
      <c r="A124" s="171" t="s">
        <v>175</v>
      </c>
      <c r="B124" s="170"/>
      <c r="C124" s="170"/>
      <c r="D124" s="216">
        <f>SUM(D91)</f>
        <v>636.61794236615981</v>
      </c>
      <c r="E124" s="267">
        <f>SUM(J91)</f>
        <v>475.04502481883191</v>
      </c>
      <c r="F124" s="264">
        <f>SUM('FY21 Final'!D124)</f>
        <v>636.56959723744819</v>
      </c>
      <c r="G124" s="200">
        <f>SUM('FY21 Final'!E124)</f>
        <v>577.07634710600723</v>
      </c>
    </row>
    <row r="125" spans="1:7" s="164" customFormat="1">
      <c r="A125" s="171" t="s">
        <v>142</v>
      </c>
      <c r="B125" s="170"/>
      <c r="C125" s="170"/>
      <c r="D125" s="216">
        <f>SUM(D123:D124)</f>
        <v>1591.5448559153992</v>
      </c>
      <c r="E125" s="267">
        <f>SUM(E123:E124)</f>
        <v>1187.6125620470798</v>
      </c>
      <c r="F125" s="264">
        <f>SUM('FY21 Final'!D125)</f>
        <v>1591.4239930936205</v>
      </c>
      <c r="G125" s="200">
        <f>SUM('FY21 Final'!E125)</f>
        <v>1442.6908677650179</v>
      </c>
    </row>
    <row r="126" spans="1:7" s="164" customFormat="1">
      <c r="A126" s="260" t="s">
        <v>176</v>
      </c>
      <c r="B126" s="232"/>
      <c r="C126" s="232"/>
      <c r="D126" s="270">
        <f>SUM(D125:E125)</f>
        <v>2779.157417962479</v>
      </c>
      <c r="E126" s="268"/>
      <c r="F126" s="264">
        <f>SUM('FY21 Final'!D126)</f>
        <v>3034.1148608586382</v>
      </c>
      <c r="G126" s="200"/>
    </row>
    <row r="127" spans="1:7" s="164" customFormat="1">
      <c r="A127" s="260" t="s">
        <v>177</v>
      </c>
      <c r="B127" s="232"/>
      <c r="C127" s="232"/>
      <c r="D127" s="270">
        <f>SUM(D126-F126)</f>
        <v>-254.95744289615914</v>
      </c>
      <c r="E127" s="268"/>
      <c r="F127" s="254"/>
      <c r="G127" s="181"/>
    </row>
    <row r="128" spans="1:7" s="164" customFormat="1">
      <c r="A128" s="229" t="s">
        <v>178</v>
      </c>
      <c r="B128" s="228"/>
      <c r="C128" s="228"/>
      <c r="D128" s="271">
        <f>SUM(D127/F126)</f>
        <v>-8.4030254155904816E-2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5549.1349600674057</v>
      </c>
      <c r="E131" s="267">
        <f>SUM((I58/J58)/1000)*J96</f>
        <v>3789.2740058132945</v>
      </c>
      <c r="F131" s="264">
        <f>SUM('FY21 Final'!D131)</f>
        <v>5277.8304474602255</v>
      </c>
      <c r="G131" s="200">
        <f>SUM('FY21 Final'!E131)</f>
        <v>4450.0251953372954</v>
      </c>
    </row>
    <row r="132" spans="1:7" s="164" customFormat="1">
      <c r="A132" s="171" t="s">
        <v>175</v>
      </c>
      <c r="B132" s="170"/>
      <c r="C132" s="170"/>
      <c r="D132" s="216">
        <f>SUM(D95)</f>
        <v>5549.1349600674066</v>
      </c>
      <c r="E132" s="267">
        <f>SUM(J95)</f>
        <v>3789.2740058132949</v>
      </c>
      <c r="F132" s="264">
        <f>SUM('FY21 Final'!D132)</f>
        <v>5277.8304474602255</v>
      </c>
      <c r="G132" s="200">
        <f>SUM('FY21 Final'!E132)</f>
        <v>4450.0251953372963</v>
      </c>
    </row>
    <row r="133" spans="1:7" s="164" customFormat="1">
      <c r="A133" s="171" t="s">
        <v>142</v>
      </c>
      <c r="B133" s="170"/>
      <c r="C133" s="170"/>
      <c r="D133" s="216">
        <f>SUM(D131:D132)</f>
        <v>11098.269920134811</v>
      </c>
      <c r="E133" s="267">
        <f>SUM(E131:E132)</f>
        <v>7578.5480116265899</v>
      </c>
      <c r="F133" s="264">
        <f>SUM('FY21 Final'!D133)</f>
        <v>10555.660894920451</v>
      </c>
      <c r="G133" s="200">
        <f>SUM('FY21 Final'!E133)</f>
        <v>8900.0503906745907</v>
      </c>
    </row>
    <row r="134" spans="1:7" s="164" customFormat="1">
      <c r="A134" s="260" t="s">
        <v>176</v>
      </c>
      <c r="B134" s="232"/>
      <c r="C134" s="232"/>
      <c r="D134" s="270">
        <f>SUM(D133:E133)</f>
        <v>18676.817931761401</v>
      </c>
      <c r="E134" s="268"/>
      <c r="F134" s="264">
        <f>SUM('FY21 Final'!D134)</f>
        <v>19455.71128559504</v>
      </c>
      <c r="G134" s="200"/>
    </row>
    <row r="135" spans="1:7" s="164" customFormat="1">
      <c r="A135" s="260" t="s">
        <v>177</v>
      </c>
      <c r="B135" s="232"/>
      <c r="C135" s="232"/>
      <c r="D135" s="270">
        <f>SUM(D134-F134)</f>
        <v>-778.89335383363868</v>
      </c>
      <c r="E135" s="268"/>
      <c r="F135" s="254"/>
      <c r="G135" s="181"/>
    </row>
    <row r="136" spans="1:7" s="164" customFormat="1">
      <c r="A136" s="229" t="s">
        <v>178</v>
      </c>
      <c r="B136" s="228"/>
      <c r="C136" s="228"/>
      <c r="D136" s="271">
        <f>SUM(D135/F134)</f>
        <v>-4.0034175178695695E-2</v>
      </c>
      <c r="E136" s="269"/>
      <c r="F136" s="265"/>
      <c r="G136" s="214"/>
    </row>
    <row r="140" spans="1:7" s="164" customFormat="1" ht="18.75">
      <c r="A140" s="287" t="s">
        <v>223</v>
      </c>
    </row>
    <row r="142" spans="1:7" s="164" customFormat="1" ht="18.75">
      <c r="A142" s="334"/>
      <c r="B142" s="334"/>
      <c r="C142" s="334"/>
      <c r="E142" s="334"/>
      <c r="F142" s="186"/>
      <c r="G142" s="186"/>
    </row>
    <row r="143" spans="1:7" s="164" customFormat="1" ht="18.75">
      <c r="A143" s="335" t="s">
        <v>211</v>
      </c>
      <c r="B143" s="335"/>
      <c r="C143" s="335"/>
      <c r="E143" s="335" t="s">
        <v>214</v>
      </c>
    </row>
    <row r="144" spans="1:7" s="164" customFormat="1" ht="18.75">
      <c r="A144" s="335"/>
      <c r="B144" s="335"/>
      <c r="C144" s="335"/>
      <c r="E144" s="335"/>
    </row>
    <row r="145" spans="1:7" s="164" customFormat="1" ht="18.75">
      <c r="A145" s="335"/>
      <c r="B145" s="335"/>
      <c r="C145" s="335"/>
      <c r="E145" s="335"/>
    </row>
    <row r="146" spans="1:7" s="164" customFormat="1" ht="18.75">
      <c r="A146" s="334"/>
      <c r="B146" s="334"/>
      <c r="C146" s="334"/>
      <c r="E146" s="334"/>
      <c r="F146" s="186"/>
      <c r="G146" s="186"/>
    </row>
    <row r="147" spans="1:7" s="164" customFormat="1" ht="18.75">
      <c r="A147" s="335" t="s">
        <v>226</v>
      </c>
      <c r="B147" s="335"/>
      <c r="C147" s="335"/>
      <c r="E147" s="335" t="s">
        <v>212</v>
      </c>
    </row>
    <row r="148" spans="1:7" s="164" customFormat="1" ht="18.75">
      <c r="A148" s="335"/>
      <c r="B148" s="335"/>
      <c r="C148" s="335"/>
      <c r="D148" s="335"/>
      <c r="E148" s="335"/>
    </row>
    <row r="149" spans="1:7" s="164" customFormat="1" ht="18.75">
      <c r="A149" s="335"/>
      <c r="B149" s="335"/>
      <c r="C149" s="335"/>
      <c r="D149" s="335"/>
      <c r="E149" s="335"/>
    </row>
    <row r="150" spans="1:7" s="164" customFormat="1" ht="18.75">
      <c r="A150" s="334"/>
      <c r="B150" s="334"/>
      <c r="C150" s="334"/>
      <c r="D150" s="335"/>
      <c r="E150" s="335"/>
    </row>
    <row r="151" spans="1:7" s="164" customFormat="1" ht="18.75">
      <c r="A151" s="335" t="s">
        <v>213</v>
      </c>
      <c r="B151" s="335"/>
      <c r="C151" s="335"/>
      <c r="D151" s="335"/>
      <c r="E151" s="335"/>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5" orientation="landscape" verticalDpi="0" r:id="rId1"/>
  <rowBreaks count="2" manualBreakCount="2">
    <brk id="49"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topLeftCell="B13" zoomScaleNormal="100" workbookViewId="0">
      <selection activeCell="F31" sqref="F31"/>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217</v>
      </c>
      <c r="B1" s="189"/>
      <c r="C1" s="189"/>
      <c r="D1" s="189"/>
      <c r="O1" s="165"/>
      <c r="P1" s="165"/>
    </row>
    <row r="2" spans="1:16" s="164" customFormat="1">
      <c r="A2" s="166" t="s">
        <v>218</v>
      </c>
      <c r="O2" s="165"/>
      <c r="P2" s="165"/>
    </row>
    <row r="3" spans="1:16" s="164" customFormat="1">
      <c r="A3" s="328" t="s">
        <v>205</v>
      </c>
      <c r="B3" s="328"/>
      <c r="C3" s="328"/>
      <c r="O3" s="165"/>
      <c r="P3"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15" t="s">
        <v>2</v>
      </c>
      <c r="E8" s="315" t="s">
        <v>26</v>
      </c>
      <c r="F8" s="314" t="s">
        <v>136</v>
      </c>
      <c r="O8" s="165"/>
      <c r="P8" s="165"/>
    </row>
    <row r="9" spans="1:16" s="164" customFormat="1">
      <c r="A9" s="393" t="s">
        <v>135</v>
      </c>
      <c r="B9" s="394"/>
      <c r="C9" s="170"/>
      <c r="D9" s="178">
        <v>357985</v>
      </c>
      <c r="E9" s="178">
        <v>600152</v>
      </c>
      <c r="F9" s="179">
        <f>D9+E9</f>
        <v>958137</v>
      </c>
      <c r="O9" s="165"/>
      <c r="P9" s="165"/>
    </row>
    <row r="10" spans="1:16" s="164" customFormat="1">
      <c r="A10" s="395" t="s">
        <v>199</v>
      </c>
      <c r="B10" s="396"/>
      <c r="C10" s="232"/>
      <c r="D10" s="319">
        <v>358965</v>
      </c>
      <c r="E10" s="319">
        <v>606387</v>
      </c>
      <c r="F10" s="292">
        <f>D10+E10</f>
        <v>965352</v>
      </c>
      <c r="O10" s="165"/>
      <c r="P10" s="165"/>
    </row>
    <row r="11" spans="1:16" s="164" customFormat="1">
      <c r="A11" s="190" t="s">
        <v>200</v>
      </c>
      <c r="B11" s="191"/>
      <c r="C11" s="170"/>
      <c r="D11" s="178">
        <f>D10-D9</f>
        <v>980</v>
      </c>
      <c r="E11" s="178">
        <f>E10-E9</f>
        <v>6235</v>
      </c>
      <c r="F11" s="179">
        <f>D11+E11</f>
        <v>7215</v>
      </c>
      <c r="O11" s="165"/>
      <c r="P11" s="165"/>
    </row>
    <row r="12" spans="1:16" s="164" customFormat="1">
      <c r="A12" s="192" t="s">
        <v>201</v>
      </c>
      <c r="B12" s="193"/>
      <c r="C12" s="186"/>
      <c r="D12" s="175">
        <f>D11/D9</f>
        <v>2.73754486919843E-3</v>
      </c>
      <c r="E12" s="175">
        <f>E11/E9</f>
        <v>1.0389034777856276E-2</v>
      </c>
      <c r="F12" s="176">
        <f>F11/F9</f>
        <v>7.5302383688345192E-3</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663.63779917190823</v>
      </c>
      <c r="N19" s="165"/>
      <c r="O19" s="165"/>
    </row>
    <row r="20" spans="1:16" s="164" customFormat="1">
      <c r="A20" s="171" t="s">
        <v>195</v>
      </c>
      <c r="B20" s="170"/>
      <c r="C20" s="170"/>
      <c r="D20" s="170"/>
      <c r="E20" s="170"/>
      <c r="F20" s="200">
        <f>SUM(D91)*0.5</f>
        <v>318.2847986187241</v>
      </c>
      <c r="N20" s="165"/>
      <c r="O20" s="165"/>
    </row>
    <row r="21" spans="1:16" s="164" customFormat="1">
      <c r="A21" s="174" t="s">
        <v>196</v>
      </c>
      <c r="B21" s="186"/>
      <c r="C21" s="186"/>
      <c r="D21" s="186"/>
      <c r="E21" s="186"/>
      <c r="F21" s="201">
        <f>SUM(J91)*0.5</f>
        <v>288.53817355300362</v>
      </c>
      <c r="N21" s="165"/>
      <c r="O21" s="165"/>
    </row>
    <row r="22" spans="1:16" s="164" customFormat="1">
      <c r="N22" s="165"/>
      <c r="O22" s="165"/>
    </row>
    <row r="23" spans="1:16" s="164" customFormat="1">
      <c r="A23" s="167"/>
      <c r="D23" s="382" t="s">
        <v>2</v>
      </c>
      <c r="E23" s="383"/>
      <c r="F23" s="383"/>
      <c r="G23" s="383"/>
      <c r="H23" s="383"/>
      <c r="I23" s="383"/>
      <c r="J23" s="392" t="s">
        <v>26</v>
      </c>
      <c r="K23" s="383"/>
      <c r="L23" s="383"/>
      <c r="M23" s="383"/>
      <c r="N23" s="383"/>
      <c r="O23" s="384"/>
    </row>
    <row r="24" spans="1:16" s="164" customFormat="1">
      <c r="A24" s="167"/>
      <c r="D24" s="378" t="s">
        <v>199</v>
      </c>
      <c r="E24" s="379"/>
      <c r="F24" s="378" t="s">
        <v>135</v>
      </c>
      <c r="G24" s="379"/>
      <c r="H24" s="378" t="s">
        <v>204</v>
      </c>
      <c r="I24" s="389"/>
      <c r="J24" s="390" t="s">
        <v>199</v>
      </c>
      <c r="K24" s="379"/>
      <c r="L24" s="378" t="s">
        <v>135</v>
      </c>
      <c r="M24" s="379"/>
      <c r="N24" s="378" t="s">
        <v>204</v>
      </c>
      <c r="O24" s="37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168" t="s">
        <v>14</v>
      </c>
      <c r="B26" s="169"/>
      <c r="C26" s="169"/>
      <c r="D26" s="180"/>
      <c r="E26" s="177"/>
      <c r="F26" s="180"/>
      <c r="G26" s="177"/>
      <c r="H26" s="180"/>
      <c r="I26" s="169"/>
      <c r="J26" s="253"/>
      <c r="K26" s="177"/>
      <c r="L26" s="180"/>
      <c r="M26" s="177"/>
      <c r="N26" s="316"/>
      <c r="O26" s="318"/>
      <c r="P26" s="165"/>
    </row>
    <row r="27" spans="1:16" s="164" customFormat="1">
      <c r="A27" s="171"/>
      <c r="B27" s="170" t="s">
        <v>145</v>
      </c>
      <c r="C27" s="170"/>
      <c r="D27" s="171"/>
      <c r="E27" s="181"/>
      <c r="F27" s="171"/>
      <c r="G27" s="181"/>
      <c r="H27" s="171"/>
      <c r="I27" s="170"/>
      <c r="J27" s="326">
        <v>663.6</v>
      </c>
      <c r="K27" s="234">
        <f>SUM(J59*J27)</f>
        <v>663.6</v>
      </c>
      <c r="L27" s="216">
        <f>SUM('FY20 Final'!J27)</f>
        <v>646.95000000000005</v>
      </c>
      <c r="M27" s="234">
        <f>SUM('FY20 Final'!K27)</f>
        <v>646.95000000000005</v>
      </c>
      <c r="N27" s="244">
        <f>SUM(J27-L27)</f>
        <v>16.649999999999977</v>
      </c>
      <c r="O27" s="240">
        <f>SUM(N27/L27)</f>
        <v>2.5736146533735182E-2</v>
      </c>
    </row>
    <row r="28" spans="1:16" s="164" customFormat="1">
      <c r="A28" s="171"/>
      <c r="B28" s="170" t="s">
        <v>158</v>
      </c>
      <c r="C28" s="170"/>
      <c r="D28" s="171"/>
      <c r="E28" s="181"/>
      <c r="F28" s="171"/>
      <c r="G28" s="181"/>
      <c r="H28" s="171"/>
      <c r="I28" s="170"/>
      <c r="J28" s="254"/>
      <c r="K28" s="234">
        <f>SUM(K29-K27)</f>
        <v>6036.4</v>
      </c>
      <c r="L28" s="216"/>
      <c r="M28" s="234">
        <f>SUM('FY20 Final'!K28)</f>
        <v>1853</v>
      </c>
      <c r="N28" s="312"/>
      <c r="O28" s="184"/>
    </row>
    <row r="29" spans="1:16" s="164" customFormat="1">
      <c r="A29" s="174"/>
      <c r="B29" s="228" t="s">
        <v>160</v>
      </c>
      <c r="C29" s="228"/>
      <c r="D29" s="229"/>
      <c r="E29" s="231"/>
      <c r="F29" s="229"/>
      <c r="G29" s="231"/>
      <c r="H29" s="229"/>
      <c r="I29" s="228"/>
      <c r="J29" s="252"/>
      <c r="K29" s="325">
        <v>6700</v>
      </c>
      <c r="L29" s="243"/>
      <c r="M29" s="238">
        <f>SUM(M27:M28)</f>
        <v>2499.9499999999998</v>
      </c>
      <c r="N29" s="245"/>
      <c r="O29" s="242"/>
    </row>
    <row r="30" spans="1:16" s="164" customFormat="1">
      <c r="A30" s="241" t="s">
        <v>159</v>
      </c>
      <c r="B30" s="170"/>
      <c r="C30" s="170"/>
      <c r="D30" s="171"/>
      <c r="E30" s="273"/>
      <c r="F30" s="171"/>
      <c r="G30" s="181"/>
      <c r="H30" s="171"/>
      <c r="I30" s="170"/>
      <c r="J30" s="254"/>
      <c r="K30" s="234"/>
      <c r="L30" s="171"/>
      <c r="M30" s="234"/>
      <c r="N30" s="312"/>
      <c r="O30" s="184"/>
    </row>
    <row r="31" spans="1:16" s="164" customFormat="1">
      <c r="A31" s="171"/>
      <c r="B31" s="170" t="s">
        <v>145</v>
      </c>
      <c r="C31" s="170"/>
      <c r="D31" s="327">
        <v>318.29000000000002</v>
      </c>
      <c r="E31" s="234">
        <f>SUM(D31*F60)</f>
        <v>1273.1600000000001</v>
      </c>
      <c r="F31" s="216">
        <f>SUM('FY20 Final'!D31)</f>
        <v>297.36</v>
      </c>
      <c r="G31" s="234">
        <f>SUM('FY20 Final'!E31)</f>
        <v>1486.8000000000002</v>
      </c>
      <c r="H31" s="216">
        <f>SUM(D31-F31)</f>
        <v>20.930000000000007</v>
      </c>
      <c r="I31" s="182">
        <f>SUM(H31/F31)</f>
        <v>7.038606403013184E-2</v>
      </c>
      <c r="J31" s="326">
        <v>288.52</v>
      </c>
      <c r="K31" s="234">
        <f>SUM(J31*J60)</f>
        <v>865.56</v>
      </c>
      <c r="L31" s="216">
        <f>SUM('FY20 Final'!J31)</f>
        <v>281.27999999999997</v>
      </c>
      <c r="M31" s="234">
        <f>SUM('FY20 Final'!K31)</f>
        <v>1125.1199999999999</v>
      </c>
      <c r="N31" s="244">
        <f>SUM(J31-L31)</f>
        <v>7.2400000000000091</v>
      </c>
      <c r="O31" s="240">
        <f>SUM(N31/L31)</f>
        <v>2.5739476678043265E-2</v>
      </c>
    </row>
    <row r="32" spans="1:16" s="164" customFormat="1">
      <c r="A32" s="174"/>
      <c r="B32" s="228" t="s">
        <v>160</v>
      </c>
      <c r="C32" s="228"/>
      <c r="D32" s="229"/>
      <c r="E32" s="238">
        <f>SUM(E31)</f>
        <v>1273.1600000000001</v>
      </c>
      <c r="F32" s="243"/>
      <c r="G32" s="238">
        <f>SUM(G31)</f>
        <v>1486.8000000000002</v>
      </c>
      <c r="H32" s="229"/>
      <c r="I32" s="228"/>
      <c r="J32" s="252"/>
      <c r="K32" s="238">
        <f>SUM(K31)</f>
        <v>865.56</v>
      </c>
      <c r="L32" s="243"/>
      <c r="M32" s="238">
        <f>SUM(M31)</f>
        <v>1125.1199999999999</v>
      </c>
      <c r="N32" s="245"/>
      <c r="O32" s="242"/>
    </row>
    <row r="33" spans="1:16" s="164" customFormat="1">
      <c r="D33" s="274"/>
      <c r="E33" s="188"/>
      <c r="G33" s="188"/>
      <c r="K33" s="188"/>
      <c r="M33" s="188"/>
      <c r="N33" s="165"/>
      <c r="O33" s="165"/>
    </row>
    <row r="34" spans="1:16" s="164" customFormat="1" ht="18.75">
      <c r="A34" s="287" t="s">
        <v>179</v>
      </c>
      <c r="D34" s="382" t="s">
        <v>2</v>
      </c>
      <c r="E34" s="383"/>
      <c r="F34" s="383"/>
      <c r="G34" s="383"/>
      <c r="H34" s="383"/>
      <c r="I34" s="383"/>
      <c r="J34" s="392" t="s">
        <v>26</v>
      </c>
      <c r="K34" s="383"/>
      <c r="L34" s="383"/>
      <c r="M34" s="383"/>
      <c r="N34" s="383"/>
      <c r="O34" s="384"/>
    </row>
    <row r="35" spans="1:16" s="164" customFormat="1">
      <c r="B35" s="170"/>
      <c r="C35" s="170"/>
      <c r="D35" s="378" t="s">
        <v>199</v>
      </c>
      <c r="E35" s="379"/>
      <c r="F35" s="378" t="s">
        <v>135</v>
      </c>
      <c r="G35" s="379"/>
      <c r="H35" s="210"/>
      <c r="I35" s="211"/>
      <c r="J35" s="390" t="s">
        <v>199</v>
      </c>
      <c r="K35" s="379"/>
      <c r="L35" s="378" t="s">
        <v>203</v>
      </c>
      <c r="M35" s="379"/>
      <c r="N35" s="313"/>
      <c r="O35" s="184"/>
    </row>
    <row r="36" spans="1:16" s="164" customFormat="1">
      <c r="B36" s="170"/>
      <c r="C36" s="170"/>
      <c r="D36" s="171"/>
      <c r="E36" s="181" t="s">
        <v>151</v>
      </c>
      <c r="F36" s="171"/>
      <c r="G36" s="181" t="s">
        <v>151</v>
      </c>
      <c r="H36" s="221"/>
      <c r="I36" s="221"/>
      <c r="J36" s="254"/>
      <c r="K36" s="181" t="s">
        <v>151</v>
      </c>
      <c r="L36" s="171"/>
      <c r="M36" s="181" t="s">
        <v>151</v>
      </c>
      <c r="N36" s="313"/>
      <c r="O36" s="184"/>
    </row>
    <row r="37" spans="1:16" s="164" customFormat="1">
      <c r="A37" s="180"/>
      <c r="B37" s="169" t="s">
        <v>161</v>
      </c>
      <c r="C37" s="169"/>
      <c r="D37" s="180"/>
      <c r="E37" s="322">
        <v>1500</v>
      </c>
      <c r="F37" s="180"/>
      <c r="G37" s="247">
        <v>1500</v>
      </c>
      <c r="H37" s="246"/>
      <c r="I37" s="185"/>
      <c r="J37" s="253"/>
      <c r="K37" s="322"/>
      <c r="L37" s="180"/>
      <c r="M37" s="247"/>
      <c r="N37" s="313"/>
      <c r="O37" s="184"/>
    </row>
    <row r="38" spans="1:16" s="164" customFormat="1">
      <c r="A38" s="171"/>
      <c r="B38" s="170" t="s">
        <v>162</v>
      </c>
      <c r="C38" s="170"/>
      <c r="D38" s="171"/>
      <c r="E38" s="323">
        <v>49641</v>
      </c>
      <c r="F38" s="217"/>
      <c r="G38" s="187">
        <v>50300</v>
      </c>
      <c r="H38" s="215"/>
      <c r="I38" s="182"/>
      <c r="J38" s="254"/>
      <c r="K38" s="323"/>
      <c r="L38" s="171"/>
      <c r="M38" s="234"/>
      <c r="N38" s="313"/>
      <c r="O38" s="184"/>
    </row>
    <row r="39" spans="1:16" s="164" customFormat="1">
      <c r="A39" s="171"/>
      <c r="B39" s="170" t="s">
        <v>180</v>
      </c>
      <c r="C39" s="170"/>
      <c r="D39" s="171"/>
      <c r="E39" s="324"/>
      <c r="F39" s="171"/>
      <c r="G39" s="181"/>
      <c r="H39" s="215"/>
      <c r="I39" s="182"/>
      <c r="J39" s="254"/>
      <c r="K39" s="323">
        <v>200000</v>
      </c>
      <c r="L39" s="171"/>
      <c r="M39" s="234">
        <v>190000</v>
      </c>
      <c r="N39" s="313"/>
      <c r="O39" s="184"/>
    </row>
    <row r="40" spans="1:16" s="164" customFormat="1">
      <c r="A40" s="171"/>
      <c r="B40" s="170" t="s">
        <v>181</v>
      </c>
      <c r="C40" s="170"/>
      <c r="D40" s="171"/>
      <c r="E40" s="323"/>
      <c r="F40" s="233"/>
      <c r="G40" s="234">
        <v>0</v>
      </c>
      <c r="H40" s="215"/>
      <c r="I40" s="182"/>
      <c r="J40" s="255"/>
      <c r="K40" s="323"/>
      <c r="L40" s="233"/>
      <c r="M40" s="234">
        <v>0</v>
      </c>
      <c r="N40" s="313"/>
      <c r="O40" s="184"/>
    </row>
    <row r="41" spans="1:16" s="164" customFormat="1">
      <c r="A41" s="171"/>
      <c r="B41" s="170" t="s">
        <v>163</v>
      </c>
      <c r="C41" s="170"/>
      <c r="D41" s="171"/>
      <c r="E41" s="323">
        <v>500</v>
      </c>
      <c r="F41" s="233"/>
      <c r="G41" s="234">
        <v>500</v>
      </c>
      <c r="H41" s="215"/>
      <c r="I41" s="182"/>
      <c r="J41" s="255"/>
      <c r="K41" s="323">
        <v>1000</v>
      </c>
      <c r="L41" s="233"/>
      <c r="M41" s="234">
        <v>1000</v>
      </c>
      <c r="N41" s="313"/>
      <c r="O41" s="184"/>
    </row>
    <row r="42" spans="1:16" s="164" customFormat="1">
      <c r="A42" s="171"/>
      <c r="B42" s="170" t="s">
        <v>182</v>
      </c>
      <c r="C42" s="170"/>
      <c r="D42" s="171"/>
      <c r="E42" s="323"/>
      <c r="F42" s="233"/>
      <c r="G42" s="234">
        <v>0</v>
      </c>
      <c r="H42" s="215"/>
      <c r="I42" s="182"/>
      <c r="J42" s="255"/>
      <c r="K42" s="323"/>
      <c r="L42" s="233"/>
      <c r="M42" s="234">
        <v>0</v>
      </c>
      <c r="N42" s="313"/>
      <c r="O42" s="184"/>
    </row>
    <row r="43" spans="1:16" s="164" customFormat="1">
      <c r="A43" s="171"/>
      <c r="B43" s="170" t="s">
        <v>164</v>
      </c>
      <c r="C43" s="170"/>
      <c r="D43" s="171"/>
      <c r="E43" s="323">
        <v>1500</v>
      </c>
      <c r="F43" s="233"/>
      <c r="G43" s="234">
        <v>1500</v>
      </c>
      <c r="H43" s="215"/>
      <c r="I43" s="182"/>
      <c r="J43" s="255"/>
      <c r="K43" s="323">
        <v>3500</v>
      </c>
      <c r="L43" s="233"/>
      <c r="M43" s="234">
        <v>3500</v>
      </c>
      <c r="N43" s="313"/>
      <c r="O43" s="184"/>
    </row>
    <row r="44" spans="1:16" s="164" customFormat="1">
      <c r="A44" s="171"/>
      <c r="B44" s="170"/>
      <c r="C44" s="170"/>
      <c r="D44" s="171"/>
      <c r="E44" s="324"/>
      <c r="F44" s="171"/>
      <c r="G44" s="181"/>
      <c r="H44" s="170"/>
      <c r="I44" s="170"/>
      <c r="J44" s="254"/>
      <c r="K44" s="324"/>
      <c r="L44" s="171"/>
      <c r="M44" s="181"/>
      <c r="N44" s="313"/>
      <c r="O44" s="184"/>
    </row>
    <row r="45" spans="1:16" s="164" customFormat="1">
      <c r="A45" s="174"/>
      <c r="B45" s="228" t="s">
        <v>165</v>
      </c>
      <c r="C45" s="228"/>
      <c r="D45" s="229"/>
      <c r="E45" s="238">
        <f>SUM(E37:E43)</f>
        <v>53141</v>
      </c>
      <c r="F45" s="248"/>
      <c r="G45" s="238">
        <f>SUM(G37:G43)</f>
        <v>53800</v>
      </c>
      <c r="H45" s="230"/>
      <c r="I45" s="230"/>
      <c r="J45" s="256"/>
      <c r="K45" s="238">
        <f>SUM(K37:K43)</f>
        <v>204500</v>
      </c>
      <c r="L45" s="248"/>
      <c r="M45" s="238">
        <f>SUM(M37:M43)</f>
        <v>194500</v>
      </c>
      <c r="N45" s="257"/>
      <c r="O45" s="258"/>
    </row>
    <row r="47" spans="1:16" s="164" customFormat="1">
      <c r="A47" s="288" t="s">
        <v>189</v>
      </c>
      <c r="B47" s="289"/>
      <c r="C47" s="289"/>
      <c r="D47" s="289"/>
      <c r="E47" s="290">
        <f>SUM(E29+E32+E45)</f>
        <v>54414.16</v>
      </c>
      <c r="F47" s="290"/>
      <c r="G47" s="290">
        <f>SUM(G29+G32+G45)</f>
        <v>55286.8</v>
      </c>
      <c r="H47" s="290"/>
      <c r="I47" s="290"/>
      <c r="J47" s="290"/>
      <c r="K47" s="290">
        <f>SUM(K29+K32+K45)</f>
        <v>212065.56</v>
      </c>
      <c r="L47" s="290"/>
      <c r="M47" s="290">
        <f>SUM(M29+M32+M45)</f>
        <v>198125.07</v>
      </c>
      <c r="O47" s="165"/>
      <c r="P47" s="165"/>
    </row>
    <row r="48" spans="1:16" s="164" customFormat="1">
      <c r="A48" s="288" t="s">
        <v>190</v>
      </c>
      <c r="B48" s="289"/>
      <c r="C48" s="289"/>
      <c r="D48" s="289"/>
      <c r="E48" s="290">
        <f>SUM(D10-E47)</f>
        <v>304550.83999999997</v>
      </c>
      <c r="F48" s="289"/>
      <c r="G48" s="290">
        <f>SUM(D9-G47)</f>
        <v>302698.2</v>
      </c>
      <c r="H48" s="289"/>
      <c r="I48" s="289"/>
      <c r="J48" s="289"/>
      <c r="K48" s="290">
        <f>SUM(E10-K47)</f>
        <v>394321.44</v>
      </c>
      <c r="L48" s="289"/>
      <c r="M48" s="290">
        <f>SUM(E9-M47)</f>
        <v>402026.93</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82" t="s">
        <v>2</v>
      </c>
      <c r="D53" s="383"/>
      <c r="E53" s="383"/>
      <c r="F53" s="384"/>
      <c r="G53" s="382" t="s">
        <v>26</v>
      </c>
      <c r="H53" s="383"/>
      <c r="I53" s="383"/>
      <c r="J53" s="384"/>
    </row>
    <row r="54" spans="1:12" s="164" customFormat="1" ht="60">
      <c r="A54" s="180"/>
      <c r="B54" s="169"/>
      <c r="C54" s="385"/>
      <c r="D54" s="386"/>
      <c r="E54" s="204" t="s">
        <v>172</v>
      </c>
      <c r="F54" s="181"/>
      <c r="G54" s="210"/>
      <c r="H54" s="211"/>
      <c r="I54" s="204" t="s">
        <v>172</v>
      </c>
      <c r="J54" s="181"/>
    </row>
    <row r="55" spans="1:12" s="164" customFormat="1">
      <c r="A55" s="171"/>
      <c r="B55" s="170"/>
      <c r="C55" s="310" t="s">
        <v>140</v>
      </c>
      <c r="D55" s="311" t="s">
        <v>141</v>
      </c>
      <c r="E55" s="220">
        <v>0.98</v>
      </c>
      <c r="F55" s="205" t="s">
        <v>148</v>
      </c>
      <c r="G55" s="310" t="s">
        <v>140</v>
      </c>
      <c r="H55" s="311" t="s">
        <v>141</v>
      </c>
      <c r="I55" s="220">
        <v>0.98</v>
      </c>
      <c r="J55" s="219" t="s">
        <v>148</v>
      </c>
    </row>
    <row r="56" spans="1:12" s="164" customFormat="1">
      <c r="A56" s="171" t="s">
        <v>43</v>
      </c>
      <c r="B56" s="170"/>
      <c r="C56" s="320">
        <v>9351600</v>
      </c>
      <c r="D56" s="172">
        <f>C56/C$61</f>
        <v>0.53775733179988494</v>
      </c>
      <c r="E56" s="202">
        <f>SUM(C56*$E$55)</f>
        <v>9164568</v>
      </c>
      <c r="F56" s="329">
        <v>418</v>
      </c>
      <c r="G56" s="320">
        <v>9272600</v>
      </c>
      <c r="H56" s="172">
        <f>G56/G$61</f>
        <v>0.66886433146748225</v>
      </c>
      <c r="I56" s="202">
        <f>SUM(G56*$E$55)</f>
        <v>9087148</v>
      </c>
      <c r="J56" s="324">
        <v>415</v>
      </c>
    </row>
    <row r="57" spans="1:12" s="164" customFormat="1">
      <c r="A57" s="387" t="s">
        <v>132</v>
      </c>
      <c r="B57" s="388"/>
      <c r="C57" s="320">
        <v>7099700</v>
      </c>
      <c r="D57" s="173">
        <f>C57/C$61</f>
        <v>0.40826336975273148</v>
      </c>
      <c r="E57" s="202">
        <f>SUM(C57*$E$55)</f>
        <v>6957706</v>
      </c>
      <c r="F57" s="329">
        <v>74</v>
      </c>
      <c r="G57" s="321">
        <v>3651900</v>
      </c>
      <c r="H57" s="173">
        <f>G57/G$61</f>
        <v>0.2634240290841941</v>
      </c>
      <c r="I57" s="202">
        <f>SUM(G57*$E$55)</f>
        <v>3578862</v>
      </c>
      <c r="J57" s="324">
        <v>72</v>
      </c>
    </row>
    <row r="58" spans="1:12" s="164" customFormat="1">
      <c r="A58" s="171" t="s">
        <v>133</v>
      </c>
      <c r="B58" s="170"/>
      <c r="C58" s="320">
        <v>938700</v>
      </c>
      <c r="D58" s="172">
        <f>C58/C$61</f>
        <v>5.3979298447383556E-2</v>
      </c>
      <c r="E58" s="202">
        <f>SUM(C58*$E$55)</f>
        <v>919926</v>
      </c>
      <c r="F58" s="329">
        <v>3</v>
      </c>
      <c r="G58" s="320">
        <v>938700</v>
      </c>
      <c r="H58" s="172">
        <f>G58/G$61</f>
        <v>6.7711639448323618E-2</v>
      </c>
      <c r="I58" s="202">
        <f>SUM(G58*$E$55)</f>
        <v>919926</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17390000</v>
      </c>
      <c r="D61" s="175">
        <f>SUM(D56:D58)</f>
        <v>1</v>
      </c>
      <c r="E61" s="203">
        <f>SUM(C61*$E$55)</f>
        <v>17042200</v>
      </c>
      <c r="F61" s="209"/>
      <c r="G61" s="208">
        <f>SUM(G56:G58)</f>
        <v>13863200</v>
      </c>
      <c r="H61" s="175">
        <f>G61/G$61</f>
        <v>1</v>
      </c>
      <c r="I61" s="203">
        <f>SUM(G61*$E$55)</f>
        <v>13585936</v>
      </c>
      <c r="J61" s="214"/>
    </row>
    <row r="64" spans="1:12" s="164" customFormat="1">
      <c r="A64" s="167" t="s">
        <v>157</v>
      </c>
      <c r="H64" s="167" t="s">
        <v>183</v>
      </c>
      <c r="I64" s="167"/>
      <c r="J64" s="167"/>
      <c r="K64" s="167"/>
      <c r="L64" s="167"/>
    </row>
    <row r="65" spans="1:12" s="164" customFormat="1">
      <c r="A65" s="167"/>
      <c r="C65" s="378" t="s">
        <v>2</v>
      </c>
      <c r="D65" s="389"/>
      <c r="E65" s="389"/>
      <c r="F65" s="379"/>
      <c r="H65" s="167" t="s">
        <v>184</v>
      </c>
      <c r="I65" s="167"/>
      <c r="J65" s="167"/>
      <c r="K65" s="167"/>
      <c r="L65" s="167"/>
    </row>
    <row r="66" spans="1:12" s="164" customFormat="1">
      <c r="A66" s="180"/>
      <c r="B66" s="169"/>
      <c r="C66" s="169"/>
      <c r="D66" s="169" t="s">
        <v>156</v>
      </c>
      <c r="E66" s="169" t="s">
        <v>202</v>
      </c>
      <c r="F66" s="177" t="s">
        <v>166</v>
      </c>
      <c r="H66" s="167" t="s">
        <v>185</v>
      </c>
      <c r="I66" s="167"/>
      <c r="J66" s="167"/>
      <c r="K66" s="167"/>
      <c r="L66" s="167"/>
    </row>
    <row r="67" spans="1:12" s="164" customFormat="1">
      <c r="A67" s="387" t="s">
        <v>43</v>
      </c>
      <c r="B67" s="388"/>
      <c r="C67" s="388"/>
      <c r="D67" s="182">
        <f>SUM(-(K68)*5/100)</f>
        <v>-2.8422069988389972E-2</v>
      </c>
      <c r="E67" s="182">
        <f>SUM(D56+D67)</f>
        <v>0.50933526181149502</v>
      </c>
      <c r="F67" s="195">
        <f>SUM('FY20 Final'!E67)</f>
        <v>0.53504885352558651</v>
      </c>
      <c r="J67" s="286" t="s">
        <v>186</v>
      </c>
      <c r="K67" s="383" t="s">
        <v>187</v>
      </c>
      <c r="L67" s="384"/>
    </row>
    <row r="68" spans="1:12" s="164" customFormat="1">
      <c r="A68" s="190" t="s">
        <v>132</v>
      </c>
      <c r="B68" s="191"/>
      <c r="C68" s="170"/>
      <c r="D68" s="182">
        <f>SUM(-(K69)*5/100)</f>
        <v>-2.1577930011610028E-2</v>
      </c>
      <c r="E68" s="182">
        <f>SUM(D57+D68)</f>
        <v>0.38668543974112146</v>
      </c>
      <c r="F68" s="195">
        <f>SUM('FY20 Final'!E68)</f>
        <v>0.35364932670018234</v>
      </c>
      <c r="H68" s="168" t="s">
        <v>43</v>
      </c>
      <c r="I68" s="169"/>
      <c r="J68" s="284">
        <f>SUM(C56)</f>
        <v>9351600</v>
      </c>
      <c r="K68" s="185">
        <f>SUM(J68/J70)</f>
        <v>0.5684413997677995</v>
      </c>
      <c r="L68" s="177"/>
    </row>
    <row r="69" spans="1:12" s="164" customFormat="1">
      <c r="A69" s="171" t="s">
        <v>206</v>
      </c>
      <c r="B69" s="170"/>
      <c r="C69" s="170"/>
      <c r="D69" s="182">
        <v>0.05</v>
      </c>
      <c r="E69" s="182">
        <f>SUM(D58+D69)</f>
        <v>0.10397929844738356</v>
      </c>
      <c r="F69" s="195">
        <f>SUM('FY20 Final'!E69)</f>
        <v>0.11130181977423123</v>
      </c>
      <c r="H69" s="241" t="s">
        <v>132</v>
      </c>
      <c r="I69" s="170"/>
      <c r="J69" s="202">
        <f>SUM(C57)</f>
        <v>7099700</v>
      </c>
      <c r="K69" s="182">
        <f>SUM(J69/J70)</f>
        <v>0.4315586002322005</v>
      </c>
      <c r="L69" s="181"/>
    </row>
    <row r="70" spans="1:12" s="164" customFormat="1">
      <c r="A70" s="174" t="s">
        <v>142</v>
      </c>
      <c r="B70" s="186"/>
      <c r="C70" s="186"/>
      <c r="D70" s="186"/>
      <c r="E70" s="196">
        <f>SUM(E67:E69)</f>
        <v>1</v>
      </c>
      <c r="F70" s="197">
        <f>SUM(F67:F69)</f>
        <v>1</v>
      </c>
      <c r="H70" s="285" t="s">
        <v>142</v>
      </c>
      <c r="I70" s="186"/>
      <c r="J70" s="203">
        <f>SUM(J68:J69)</f>
        <v>16451300</v>
      </c>
      <c r="K70" s="186"/>
      <c r="L70" s="214"/>
    </row>
    <row r="72" spans="1:12" s="164" customFormat="1">
      <c r="A72" s="167" t="s">
        <v>143</v>
      </c>
    </row>
    <row r="73" spans="1:12" s="164" customFormat="1">
      <c r="A73" s="194"/>
      <c r="B73" s="170"/>
      <c r="C73" s="374" t="s">
        <v>199</v>
      </c>
      <c r="D73" s="377"/>
      <c r="E73" s="374" t="s">
        <v>135</v>
      </c>
      <c r="F73" s="377"/>
    </row>
    <row r="74" spans="1:12" s="164" customFormat="1">
      <c r="A74" s="180"/>
      <c r="B74" s="169"/>
      <c r="C74" s="168" t="s">
        <v>2</v>
      </c>
      <c r="D74" s="198" t="s">
        <v>26</v>
      </c>
      <c r="E74" s="168" t="s">
        <v>2</v>
      </c>
      <c r="F74" s="198" t="s">
        <v>26</v>
      </c>
    </row>
    <row r="75" spans="1:12" s="164" customFormat="1">
      <c r="A75" s="380" t="s">
        <v>191</v>
      </c>
      <c r="B75" s="381"/>
      <c r="C75" s="233">
        <f>SUM(E48)</f>
        <v>304550.83999999997</v>
      </c>
      <c r="D75" s="234">
        <f>SUM(K48)</f>
        <v>394321.44</v>
      </c>
      <c r="E75" s="309">
        <f>SUM(G48)</f>
        <v>302698.2</v>
      </c>
      <c r="F75" s="200">
        <f>SUM(M48)</f>
        <v>402026.93</v>
      </c>
    </row>
    <row r="76" spans="1:12" s="164" customFormat="1">
      <c r="A76" s="380"/>
      <c r="B76" s="381"/>
      <c r="C76" s="233"/>
      <c r="D76" s="234"/>
      <c r="E76" s="217"/>
      <c r="F76" s="200"/>
    </row>
    <row r="77" spans="1:12" s="164" customFormat="1">
      <c r="A77" s="171" t="s">
        <v>43</v>
      </c>
      <c r="B77" s="170"/>
      <c r="C77" s="216">
        <f>SUM($C$75)*E67</f>
        <v>155118.48182631072</v>
      </c>
      <c r="D77" s="200">
        <f>SUM($D$75)*H56</f>
        <v>263747.54634889489</v>
      </c>
      <c r="E77" s="218">
        <f>SUM('FY20 Final'!C77)</f>
        <v>161958.32487425869</v>
      </c>
      <c r="F77" s="200">
        <f>SUM('FY20 Final'!D77)</f>
        <v>268598.50324420264</v>
      </c>
    </row>
    <row r="78" spans="1:12" s="164" customFormat="1">
      <c r="A78" s="171" t="s">
        <v>132</v>
      </c>
      <c r="B78" s="170"/>
      <c r="C78" s="216">
        <f>SUM($C$75)*E68</f>
        <v>117765.37548892791</v>
      </c>
      <c r="D78" s="200">
        <f>SUM($D$75)*H57</f>
        <v>103873.74247908129</v>
      </c>
      <c r="E78" s="218">
        <f>SUM('FY20 Final'!C78)</f>
        <v>107049.01462335714</v>
      </c>
      <c r="F78" s="200">
        <f>SUM('FY20 Final'!D78)</f>
        <v>104073.76512543738</v>
      </c>
    </row>
    <row r="79" spans="1:12" s="164" customFormat="1">
      <c r="A79" s="174" t="s">
        <v>133</v>
      </c>
      <c r="B79" s="186"/>
      <c r="C79" s="296">
        <f>SUM($C$75)*E69</f>
        <v>31666.982684761355</v>
      </c>
      <c r="D79" s="201">
        <f>SUM($D$75)*H58</f>
        <v>26700.151172023776</v>
      </c>
      <c r="E79" s="297">
        <f>SUM('FY20 Final'!C79)</f>
        <v>33690.860502384203</v>
      </c>
      <c r="F79" s="201">
        <f>SUM('FY20 Final'!D79)</f>
        <v>29354.661630359977</v>
      </c>
    </row>
    <row r="81" spans="1:23" ht="23.25">
      <c r="A81" s="295" t="s">
        <v>144</v>
      </c>
    </row>
    <row r="82" spans="1:23" ht="23.25">
      <c r="A82" s="295"/>
    </row>
    <row r="83" spans="1:23">
      <c r="A83" s="167"/>
      <c r="C83" s="180"/>
      <c r="D83" s="382" t="s">
        <v>2</v>
      </c>
      <c r="E83" s="383"/>
      <c r="F83" s="383"/>
      <c r="G83" s="383"/>
      <c r="H83" s="383"/>
      <c r="I83" s="383"/>
      <c r="J83" s="392" t="s">
        <v>26</v>
      </c>
      <c r="K83" s="383"/>
      <c r="L83" s="383"/>
      <c r="M83" s="383"/>
      <c r="N83" s="383"/>
      <c r="O83" s="384"/>
      <c r="P83" s="164"/>
    </row>
    <row r="84" spans="1:23">
      <c r="C84" s="171"/>
      <c r="D84" s="378" t="s">
        <v>199</v>
      </c>
      <c r="E84" s="379"/>
      <c r="F84" s="378" t="s">
        <v>135</v>
      </c>
      <c r="G84" s="379"/>
      <c r="H84" s="378" t="s">
        <v>204</v>
      </c>
      <c r="I84" s="389"/>
      <c r="J84" s="390" t="s">
        <v>199</v>
      </c>
      <c r="K84" s="379"/>
      <c r="L84" s="378" t="s">
        <v>135</v>
      </c>
      <c r="M84" s="379"/>
      <c r="N84" s="386" t="s">
        <v>204</v>
      </c>
      <c r="O84" s="391"/>
      <c r="P84" s="164"/>
    </row>
    <row r="85" spans="1:23" ht="51.75" customHeight="1">
      <c r="C85" s="171" t="s">
        <v>146</v>
      </c>
      <c r="D85" s="235" t="s">
        <v>150</v>
      </c>
      <c r="E85" s="181" t="s">
        <v>151</v>
      </c>
      <c r="F85" s="235" t="s">
        <v>150</v>
      </c>
      <c r="G85" s="181" t="s">
        <v>210</v>
      </c>
      <c r="H85" s="235" t="s">
        <v>154</v>
      </c>
      <c r="I85" s="221" t="s">
        <v>155</v>
      </c>
      <c r="J85" s="249" t="s">
        <v>150</v>
      </c>
      <c r="K85" s="181" t="s">
        <v>151</v>
      </c>
      <c r="L85" s="235" t="s">
        <v>150</v>
      </c>
      <c r="M85" s="181" t="s">
        <v>151</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111.32905394232827</v>
      </c>
      <c r="E87" s="234">
        <f>SUM(D87*F56)</f>
        <v>46535.544547893216</v>
      </c>
      <c r="F87" s="237">
        <f>SUM('FY20 Final'!D87)</f>
        <v>116.51678048507819</v>
      </c>
      <c r="G87" s="234">
        <f>SUM('FY20 Final'!E87)</f>
        <v>48587.497462277606</v>
      </c>
      <c r="H87" s="216">
        <f>SUM(D87-F87)</f>
        <v>-5.187726542749914</v>
      </c>
      <c r="I87" s="183">
        <f>SUM(H87/F87)</f>
        <v>-4.4523428480881207E-2</v>
      </c>
      <c r="J87" s="305">
        <f>SUM(D77*C87)/J56</f>
        <v>190.66087687871919</v>
      </c>
      <c r="K87" s="234">
        <f>SUM(J87*J56)</f>
        <v>79124.263904668464</v>
      </c>
      <c r="L87" s="237">
        <f>SUM('FY20 Final'!J87)</f>
        <v>194.63659655377003</v>
      </c>
      <c r="M87" s="234">
        <f>SUM('FY20 Final'!K87)</f>
        <v>80579.55097326079</v>
      </c>
      <c r="N87" s="199">
        <f>SUM(J87-L87)</f>
        <v>-3.9757196750508399</v>
      </c>
      <c r="O87" s="224">
        <f>SUM(N87/L87)</f>
        <v>-2.0426372765681367E-2</v>
      </c>
      <c r="P87" s="164"/>
    </row>
    <row r="88" spans="1:23">
      <c r="A88" s="171"/>
      <c r="B88" s="170" t="s">
        <v>147</v>
      </c>
      <c r="C88" s="223">
        <v>0.7</v>
      </c>
      <c r="D88" s="304">
        <f>SUM(C77*C88)/(E56*0.001)</f>
        <v>11.848123913578632</v>
      </c>
      <c r="E88" s="234">
        <f>SUM(D88)*(E56*0.001)</f>
        <v>108582.93727841749</v>
      </c>
      <c r="F88" s="237">
        <f>SUM('FY20 Final'!D88)</f>
        <v>12.449905054598325</v>
      </c>
      <c r="G88" s="234">
        <f>SUM('FY20 Final'!E88)</f>
        <v>113370.82741198108</v>
      </c>
      <c r="H88" s="216">
        <f>SUM(D88-F88)</f>
        <v>-0.60178114101969271</v>
      </c>
      <c r="I88" s="183">
        <f>SUM(H88/F88)</f>
        <v>-4.8336203238548162E-2</v>
      </c>
      <c r="J88" s="305">
        <f>SUM(D77*C88)/(I56*0.001)</f>
        <v>20.316966604288428</v>
      </c>
      <c r="K88" s="234">
        <f>SUM(J88)*(I56*0.001)</f>
        <v>184623.28244422641</v>
      </c>
      <c r="L88" s="216">
        <f>SUM('FY20 Final'!J88)</f>
        <v>20.803269620257094</v>
      </c>
      <c r="M88" s="234">
        <f>SUM('FY20 Final'!K88)</f>
        <v>188018.95227094184</v>
      </c>
      <c r="N88" s="199">
        <f>SUM(J88-L88)</f>
        <v>-0.48630301596866587</v>
      </c>
      <c r="O88" s="224">
        <f t="shared" ref="O88:O96" si="0">SUM(N88/L88)</f>
        <v>-2.33762780969358E-2</v>
      </c>
      <c r="P88" s="164"/>
    </row>
    <row r="89" spans="1:23" s="166" customFormat="1">
      <c r="A89" s="298"/>
      <c r="B89" s="299" t="s">
        <v>160</v>
      </c>
      <c r="C89" s="298"/>
      <c r="D89" s="298"/>
      <c r="E89" s="300">
        <f>SUM(E87:E88)</f>
        <v>155118.48182631072</v>
      </c>
      <c r="F89" s="298"/>
      <c r="G89" s="300">
        <f>SUM(G87:G88)</f>
        <v>161958.32487425869</v>
      </c>
      <c r="H89" s="298"/>
      <c r="I89" s="299"/>
      <c r="J89" s="301"/>
      <c r="K89" s="300">
        <f>SUM(K87:K88)</f>
        <v>263747.54634889489</v>
      </c>
      <c r="L89" s="298"/>
      <c r="M89" s="300">
        <f>SUM(M87:M88)</f>
        <v>268598.50324420264</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17"/>
      <c r="O90" s="224"/>
      <c r="P90" s="164"/>
    </row>
    <row r="91" spans="1:23">
      <c r="A91" s="171"/>
      <c r="B91" s="170" t="s">
        <v>145</v>
      </c>
      <c r="C91" s="223">
        <v>0.4</v>
      </c>
      <c r="D91" s="304">
        <f>SUM(C78*C91)/F57</f>
        <v>636.56959723744819</v>
      </c>
      <c r="E91" s="234">
        <f>SUM(D91*F57)</f>
        <v>47106.150195571165</v>
      </c>
      <c r="F91" s="237">
        <f>SUM('FY20 Final'!D91)</f>
        <v>594.71674790753968</v>
      </c>
      <c r="G91" s="234">
        <f>SUM('FY20 Final'!E91)</f>
        <v>42819.605849342857</v>
      </c>
      <c r="H91" s="216">
        <f>SUM(D91-F91)</f>
        <v>41.852849329908508</v>
      </c>
      <c r="I91" s="183">
        <f>SUM(H91/F91)</f>
        <v>7.0374425265749121E-2</v>
      </c>
      <c r="J91" s="305">
        <f>SUM(D78*C91)/J57</f>
        <v>577.07634710600723</v>
      </c>
      <c r="K91" s="234">
        <f>SUM(J91*J57)</f>
        <v>41549.496991632521</v>
      </c>
      <c r="L91" s="237">
        <f>SUM('FY20 Final'!J91)</f>
        <v>562.56089256993187</v>
      </c>
      <c r="M91" s="234">
        <f>SUM('FY20 Final'!K91)</f>
        <v>41629.506050174961</v>
      </c>
      <c r="N91" s="199">
        <f>SUM(J91-L91)</f>
        <v>14.515454536075367</v>
      </c>
      <c r="O91" s="224">
        <f t="shared" si="0"/>
        <v>2.580245930314282E-2</v>
      </c>
      <c r="P91" s="164"/>
    </row>
    <row r="92" spans="1:23">
      <c r="A92" s="171"/>
      <c r="B92" s="170" t="s">
        <v>147</v>
      </c>
      <c r="C92" s="223">
        <v>0.6</v>
      </c>
      <c r="D92" s="304">
        <f>SUM(C78*C92)/(E57*0.001)</f>
        <v>10.155534783067399</v>
      </c>
      <c r="E92" s="234">
        <f>SUM(D92)*(E57*0.001)</f>
        <v>70659.225293356736</v>
      </c>
      <c r="F92" s="216">
        <f>SUM('FY20 Final'!D92)</f>
        <v>10.671347189655707</v>
      </c>
      <c r="G92" s="234">
        <f>SUM('FY20 Final'!E92)</f>
        <v>64229.408774014286</v>
      </c>
      <c r="H92" s="216">
        <f>SUM(D92-F92)</f>
        <v>-0.51581240658830829</v>
      </c>
      <c r="I92" s="183">
        <f>SUM(H92/F92)</f>
        <v>-4.8336203238548189E-2</v>
      </c>
      <c r="J92" s="305">
        <f>SUM(D78*C92)/(I57*0.001)</f>
        <v>17.414542803675797</v>
      </c>
      <c r="K92" s="234">
        <f>SUM(J92)*(I57*0.001)</f>
        <v>62324.245487448774</v>
      </c>
      <c r="L92" s="216">
        <f>SUM('FY20 Final'!J92)</f>
        <v>17.831373960220365</v>
      </c>
      <c r="M92" s="234">
        <f>SUM('FY20 Final'!K92)</f>
        <v>62444.259075262424</v>
      </c>
      <c r="N92" s="199">
        <f>SUM(J92-L92)</f>
        <v>-0.4168311565445677</v>
      </c>
      <c r="O92" s="224">
        <f t="shared" si="0"/>
        <v>-2.3376278096935633E-2</v>
      </c>
      <c r="P92" s="164"/>
    </row>
    <row r="93" spans="1:23" s="166" customFormat="1">
      <c r="A93" s="298"/>
      <c r="B93" s="299" t="s">
        <v>160</v>
      </c>
      <c r="C93" s="298"/>
      <c r="D93" s="298"/>
      <c r="E93" s="300">
        <f>SUM(E91:E92)</f>
        <v>117765.37548892791</v>
      </c>
      <c r="F93" s="298"/>
      <c r="G93" s="300">
        <f>SUM(G91:G92)</f>
        <v>107049.01462335714</v>
      </c>
      <c r="H93" s="298"/>
      <c r="I93" s="299"/>
      <c r="J93" s="301"/>
      <c r="K93" s="300">
        <f>SUM(K91:K92)</f>
        <v>103873.74247908129</v>
      </c>
      <c r="L93" s="298"/>
      <c r="M93" s="300">
        <f>SUM(M91:M92)</f>
        <v>104073.76512543738</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17"/>
      <c r="O94" s="224"/>
      <c r="P94" s="164"/>
    </row>
    <row r="95" spans="1:23">
      <c r="A95" s="171"/>
      <c r="B95" s="170" t="s">
        <v>145</v>
      </c>
      <c r="C95" s="223">
        <v>0.5</v>
      </c>
      <c r="D95" s="304">
        <f>SUM(C79*C95)/F58</f>
        <v>5277.8304474602255</v>
      </c>
      <c r="E95" s="234">
        <f>SUM(D95*F58)</f>
        <v>15833.491342380676</v>
      </c>
      <c r="F95" s="237">
        <f>SUM('FY20 Final'!D95)</f>
        <v>5615.1434170640341</v>
      </c>
      <c r="G95" s="234">
        <f>SUM('FY20 Final'!E95)</f>
        <v>16845.430251192101</v>
      </c>
      <c r="H95" s="216">
        <f>SUM(D95-F95)</f>
        <v>-337.3129696038086</v>
      </c>
      <c r="I95" s="183">
        <f>SUM(H95/F95)</f>
        <v>-6.0072013223872026E-2</v>
      </c>
      <c r="J95" s="305">
        <f>SUM(D79*C95)/J58</f>
        <v>4450.0251953372963</v>
      </c>
      <c r="K95" s="234">
        <f>SUM(J95*J58)</f>
        <v>13350.075586011888</v>
      </c>
      <c r="L95" s="237">
        <f>SUM('FY20 Final'!J95)</f>
        <v>4892.4436050599961</v>
      </c>
      <c r="M95" s="234">
        <f>SUM('FY20 Final'!K95)</f>
        <v>14677.330815179988</v>
      </c>
      <c r="N95" s="199">
        <f>SUM(J95-L95)</f>
        <v>-442.41840972269983</v>
      </c>
      <c r="O95" s="224">
        <f t="shared" si="0"/>
        <v>-9.0428923751952869E-2</v>
      </c>
      <c r="P95" s="164"/>
    </row>
    <row r="96" spans="1:23">
      <c r="A96" s="171"/>
      <c r="B96" s="170" t="s">
        <v>147</v>
      </c>
      <c r="C96" s="223">
        <v>0.5</v>
      </c>
      <c r="D96" s="304">
        <f>SUM(C79*C96)/(E58*0.001)</f>
        <v>17.211701095936714</v>
      </c>
      <c r="E96" s="234">
        <f>SUM(D96)*(E58*0.001)</f>
        <v>15833.491342380679</v>
      </c>
      <c r="F96" s="216">
        <f>SUM('FY20 Final'!D96)</f>
        <v>17.054484117504469</v>
      </c>
      <c r="G96" s="234">
        <f>SUM('FY20 Final'!E96)</f>
        <v>16845.430251192101</v>
      </c>
      <c r="H96" s="216">
        <f>SUM(D96-F96)</f>
        <v>0.15721697843224547</v>
      </c>
      <c r="I96" s="183">
        <f>SUM(H96/F96)</f>
        <v>9.2185127001807293E-3</v>
      </c>
      <c r="J96" s="305">
        <f>SUM(D79*C96)/(I58*0.001)</f>
        <v>14.512119003063168</v>
      </c>
      <c r="K96" s="234">
        <f>SUM(J96)*(I58*0.001)</f>
        <v>13350.075586011888</v>
      </c>
      <c r="L96" s="216">
        <f>SUM('FY20 Final'!J96)</f>
        <v>14.859478300183639</v>
      </c>
      <c r="M96" s="234">
        <f>SUM('FY20 Final'!K96)</f>
        <v>14677.330815179988</v>
      </c>
      <c r="N96" s="199">
        <f>SUM(J96-L96)</f>
        <v>-0.34735929712047131</v>
      </c>
      <c r="O96" s="224">
        <f t="shared" si="0"/>
        <v>-2.3376278096935512E-2</v>
      </c>
      <c r="P96" s="164"/>
    </row>
    <row r="97" spans="1:23" s="166" customFormat="1">
      <c r="A97" s="298"/>
      <c r="B97" s="299" t="s">
        <v>160</v>
      </c>
      <c r="C97" s="298"/>
      <c r="D97" s="298"/>
      <c r="E97" s="300">
        <f>SUM(E95:E96)</f>
        <v>31666.982684761355</v>
      </c>
      <c r="F97" s="298"/>
      <c r="G97" s="300">
        <f>SUM(G95:G96)</f>
        <v>33690.860502384203</v>
      </c>
      <c r="H97" s="298"/>
      <c r="I97" s="299"/>
      <c r="J97" s="301"/>
      <c r="K97" s="300">
        <f>SUM(K95:K96)</f>
        <v>26700.151172023776</v>
      </c>
      <c r="L97" s="298"/>
      <c r="M97" s="300">
        <f>SUM(M95:M96)</f>
        <v>29354.661630359977</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162389.34608584506</v>
      </c>
      <c r="H103" s="234">
        <f>SUM(K87+K91+K95+K27+K32+(0.5*K39)+K41+K43)</f>
        <v>240052.99648231288</v>
      </c>
    </row>
    <row r="104" spans="1:23">
      <c r="A104" s="171" t="s">
        <v>171</v>
      </c>
      <c r="B104" s="170"/>
      <c r="C104" s="170"/>
      <c r="D104" s="170"/>
      <c r="E104" s="170"/>
      <c r="F104" s="170"/>
      <c r="G104" s="233">
        <f>SUM(E88+E92+E96+E37)</f>
        <v>196575.65391415489</v>
      </c>
      <c r="H104" s="234">
        <f>SUM(K88+K92+K96+K28+(0.5*K39))</f>
        <v>366334.00351768709</v>
      </c>
    </row>
    <row r="105" spans="1:23">
      <c r="A105" s="260" t="s">
        <v>142</v>
      </c>
      <c r="B105" s="232"/>
      <c r="C105" s="232"/>
      <c r="D105" s="232"/>
      <c r="E105" s="232"/>
      <c r="F105" s="232"/>
      <c r="G105" s="261">
        <f>SUM(G103:G104)</f>
        <v>358964.99999999994</v>
      </c>
      <c r="H105" s="262">
        <f>SUM(H103:H104)</f>
        <v>606387</v>
      </c>
    </row>
    <row r="106" spans="1:23">
      <c r="A106" s="171" t="s">
        <v>207</v>
      </c>
      <c r="B106" s="170"/>
      <c r="C106" s="170"/>
      <c r="D106" s="170"/>
      <c r="E106" s="170"/>
      <c r="F106" s="170"/>
      <c r="G106" s="233">
        <f>SUM(D10-G105)</f>
        <v>5.8207660913467407E-11</v>
      </c>
      <c r="H106" s="234">
        <f>SUM(E10-H105)</f>
        <v>0</v>
      </c>
    </row>
    <row r="107" spans="1:23" ht="17.25" customHeight="1">
      <c r="A107" s="171" t="s">
        <v>169</v>
      </c>
      <c r="B107" s="170"/>
      <c r="C107" s="170"/>
      <c r="D107" s="170"/>
      <c r="E107" s="170"/>
      <c r="F107" s="170"/>
      <c r="G107" s="331">
        <v>200802</v>
      </c>
      <c r="H107" s="323">
        <v>163302</v>
      </c>
    </row>
    <row r="108" spans="1:23" ht="17.25" customHeight="1">
      <c r="A108" s="174" t="s">
        <v>208</v>
      </c>
      <c r="B108" s="186"/>
      <c r="C108" s="186"/>
      <c r="D108" s="186"/>
      <c r="E108" s="186"/>
      <c r="F108" s="186"/>
      <c r="G108" s="259">
        <f>SUM(1-(G107-G103)/G107)</f>
        <v>0.80870382807862995</v>
      </c>
      <c r="H108" s="197">
        <f>SUM(1-(H107-H103)/H107)</f>
        <v>1.4699942222527151</v>
      </c>
    </row>
    <row r="111" spans="1:23" ht="23.25">
      <c r="A111" s="295" t="s">
        <v>174</v>
      </c>
    </row>
    <row r="112" spans="1:23">
      <c r="D112" s="374" t="s">
        <v>199</v>
      </c>
      <c r="E112" s="375"/>
      <c r="F112" s="376" t="s">
        <v>135</v>
      </c>
      <c r="G112" s="377"/>
    </row>
    <row r="113" spans="1:7" s="164" customFormat="1">
      <c r="D113" s="312" t="s">
        <v>2</v>
      </c>
      <c r="E113" s="313"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259.76779253209929</v>
      </c>
      <c r="E115" s="267">
        <f>SUM((I56/J56)/1000)*J88</f>
        <v>444.87537938367802</v>
      </c>
      <c r="F115" s="264">
        <f>SUM('FY20 Final'!D115)</f>
        <v>271.87248779851581</v>
      </c>
      <c r="G115" s="200">
        <f>SUM('FY20 Final'!E115)</f>
        <v>454.15205862546344</v>
      </c>
    </row>
    <row r="116" spans="1:7" s="164" customFormat="1">
      <c r="A116" s="171" t="s">
        <v>175</v>
      </c>
      <c r="B116" s="170"/>
      <c r="C116" s="170"/>
      <c r="D116" s="216">
        <f>SUM(D87)</f>
        <v>111.32905394232827</v>
      </c>
      <c r="E116" s="267">
        <f>SUM(J87)</f>
        <v>190.66087687871919</v>
      </c>
      <c r="F116" s="264">
        <f>SUM('FY20 Final'!D116)</f>
        <v>116.51678048507819</v>
      </c>
      <c r="G116" s="200">
        <f>SUM('FY20 Final'!E116)</f>
        <v>194.63659655377003</v>
      </c>
    </row>
    <row r="117" spans="1:7" s="164" customFormat="1">
      <c r="A117" s="171" t="s">
        <v>142</v>
      </c>
      <c r="B117" s="170"/>
      <c r="C117" s="170"/>
      <c r="D117" s="216">
        <f>SUM(D115:D116)</f>
        <v>371.09684647442759</v>
      </c>
      <c r="E117" s="267">
        <f>SUM(E115:E116)</f>
        <v>635.53625626239727</v>
      </c>
      <c r="F117" s="264">
        <f>SUM('FY20 Final'!D117)</f>
        <v>388.38926828359399</v>
      </c>
      <c r="G117" s="200">
        <f>SUM('FY20 Final'!E117)</f>
        <v>648.7886551792335</v>
      </c>
    </row>
    <row r="118" spans="1:7" s="164" customFormat="1">
      <c r="A118" s="260" t="s">
        <v>176</v>
      </c>
      <c r="B118" s="232"/>
      <c r="C118" s="232"/>
      <c r="D118" s="270">
        <f>SUM(D117:E117)</f>
        <v>1006.6331027368249</v>
      </c>
      <c r="E118" s="268"/>
      <c r="F118" s="264">
        <f>SUM('FY20 Final'!D118)</f>
        <v>1037.1779234628275</v>
      </c>
      <c r="G118" s="200"/>
    </row>
    <row r="119" spans="1:7" s="164" customFormat="1">
      <c r="A119" s="260" t="s">
        <v>177</v>
      </c>
      <c r="B119" s="232"/>
      <c r="C119" s="232"/>
      <c r="D119" s="270">
        <f>SUM(D118-F118)</f>
        <v>-30.544820726002627</v>
      </c>
      <c r="E119" s="268"/>
      <c r="F119" s="254"/>
      <c r="G119" s="181"/>
    </row>
    <row r="120" spans="1:7" s="164" customFormat="1">
      <c r="A120" s="229" t="s">
        <v>178</v>
      </c>
      <c r="B120" s="228"/>
      <c r="C120" s="228"/>
      <c r="D120" s="271">
        <f>SUM(D119/F118)</f>
        <v>-2.9449933357646667E-2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954.85439585617223</v>
      </c>
      <c r="E123" s="267">
        <f>SUM((I57/J57)/1000)*J92</f>
        <v>865.61452065901062</v>
      </c>
      <c r="F123" s="264">
        <f>SUM('FY20 Final'!D123)</f>
        <v>892.07512186130941</v>
      </c>
      <c r="G123" s="200">
        <f>SUM('FY20 Final'!E123)</f>
        <v>843.84133885489769</v>
      </c>
    </row>
    <row r="124" spans="1:7" s="164" customFormat="1">
      <c r="A124" s="171" t="s">
        <v>175</v>
      </c>
      <c r="B124" s="170"/>
      <c r="C124" s="170"/>
      <c r="D124" s="216">
        <f>SUM(D91)</f>
        <v>636.56959723744819</v>
      </c>
      <c r="E124" s="267">
        <f>SUM(J91)</f>
        <v>577.07634710600723</v>
      </c>
      <c r="F124" s="264">
        <f>SUM('FY20 Final'!D124)</f>
        <v>594.71674790753968</v>
      </c>
      <c r="G124" s="200">
        <f>SUM('FY20 Final'!E124)</f>
        <v>562.56089256993187</v>
      </c>
    </row>
    <row r="125" spans="1:7" s="164" customFormat="1">
      <c r="A125" s="171" t="s">
        <v>142</v>
      </c>
      <c r="B125" s="170"/>
      <c r="C125" s="170"/>
      <c r="D125" s="216">
        <f>SUM(D123:D124)</f>
        <v>1591.4239930936205</v>
      </c>
      <c r="E125" s="267">
        <f>SUM(E123:E124)</f>
        <v>1442.6908677650179</v>
      </c>
      <c r="F125" s="264">
        <f>SUM('FY20 Final'!D125)</f>
        <v>1486.7918697688492</v>
      </c>
      <c r="G125" s="200">
        <f>SUM('FY20 Final'!E125)</f>
        <v>1406.4022314248296</v>
      </c>
    </row>
    <row r="126" spans="1:7" s="164" customFormat="1">
      <c r="A126" s="260" t="s">
        <v>176</v>
      </c>
      <c r="B126" s="232"/>
      <c r="C126" s="232"/>
      <c r="D126" s="270">
        <f>SUM(D125:E125)</f>
        <v>3034.1148608586382</v>
      </c>
      <c r="E126" s="268"/>
      <c r="F126" s="264">
        <f>SUM('FY20 Final'!D126)</f>
        <v>2893.1941011936788</v>
      </c>
      <c r="G126" s="200"/>
    </row>
    <row r="127" spans="1:7" s="164" customFormat="1">
      <c r="A127" s="260" t="s">
        <v>177</v>
      </c>
      <c r="B127" s="232"/>
      <c r="C127" s="232"/>
      <c r="D127" s="270">
        <f>SUM(D126-F126)</f>
        <v>140.92075966495941</v>
      </c>
      <c r="E127" s="268"/>
      <c r="F127" s="254"/>
      <c r="G127" s="181"/>
    </row>
    <row r="128" spans="1:7" s="164" customFormat="1">
      <c r="A128" s="229" t="s">
        <v>178</v>
      </c>
      <c r="B128" s="228"/>
      <c r="C128" s="228"/>
      <c r="D128" s="271">
        <f>SUM(D127/F126)</f>
        <v>4.8707675577942762E-2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5277.8304474602255</v>
      </c>
      <c r="E131" s="267">
        <f>SUM((I58/J58)/1000)*J96</f>
        <v>4450.0251953372954</v>
      </c>
      <c r="F131" s="264">
        <f>SUM('FY20 Final'!D131)</f>
        <v>5615.1434170640323</v>
      </c>
      <c r="G131" s="200">
        <f>SUM('FY20 Final'!E131)</f>
        <v>4892.4436050599952</v>
      </c>
    </row>
    <row r="132" spans="1:7" s="164" customFormat="1">
      <c r="A132" s="171" t="s">
        <v>175</v>
      </c>
      <c r="B132" s="170"/>
      <c r="C132" s="170"/>
      <c r="D132" s="216">
        <f>SUM(D95)</f>
        <v>5277.8304474602255</v>
      </c>
      <c r="E132" s="267">
        <f>SUM(J95)</f>
        <v>4450.0251953372963</v>
      </c>
      <c r="F132" s="264">
        <f>SUM('FY20 Final'!D132)</f>
        <v>5615.1434170640341</v>
      </c>
      <c r="G132" s="200">
        <f>SUM('FY20 Final'!E132)</f>
        <v>4892.4436050599961</v>
      </c>
    </row>
    <row r="133" spans="1:7" s="164" customFormat="1">
      <c r="A133" s="171" t="s">
        <v>142</v>
      </c>
      <c r="B133" s="170"/>
      <c r="C133" s="170"/>
      <c r="D133" s="216">
        <f>SUM(D131:D132)</f>
        <v>10555.660894920451</v>
      </c>
      <c r="E133" s="267">
        <f>SUM(E131:E132)</f>
        <v>8900.0503906745907</v>
      </c>
      <c r="F133" s="264">
        <f>SUM('FY20 Final'!D133)</f>
        <v>11230.286834128066</v>
      </c>
      <c r="G133" s="200">
        <f>SUM('FY20 Final'!E133)</f>
        <v>9784.8872101199922</v>
      </c>
    </row>
    <row r="134" spans="1:7" s="164" customFormat="1">
      <c r="A134" s="260" t="s">
        <v>176</v>
      </c>
      <c r="B134" s="232"/>
      <c r="C134" s="232"/>
      <c r="D134" s="270">
        <f>SUM(D133:E133)</f>
        <v>19455.71128559504</v>
      </c>
      <c r="E134" s="268"/>
      <c r="F134" s="264">
        <f>SUM('FY20 Final'!D134)</f>
        <v>21015.174044248059</v>
      </c>
      <c r="G134" s="200"/>
    </row>
    <row r="135" spans="1:7" s="164" customFormat="1">
      <c r="A135" s="260" t="s">
        <v>177</v>
      </c>
      <c r="B135" s="232"/>
      <c r="C135" s="232"/>
      <c r="D135" s="270">
        <f>SUM(D134-F134)</f>
        <v>-1559.4627586530187</v>
      </c>
      <c r="E135" s="268"/>
      <c r="F135" s="254"/>
      <c r="G135" s="181"/>
    </row>
    <row r="136" spans="1:7" s="164" customFormat="1">
      <c r="A136" s="229" t="s">
        <v>178</v>
      </c>
      <c r="B136" s="228"/>
      <c r="C136" s="228"/>
      <c r="D136" s="271">
        <f>SUM(D135/F134)</f>
        <v>-7.4206511702902128E-2</v>
      </c>
      <c r="E136" s="269"/>
      <c r="F136" s="265"/>
      <c r="G136" s="214"/>
    </row>
    <row r="140" spans="1:7" s="164" customFormat="1" ht="18.75">
      <c r="A140" s="287" t="s">
        <v>216</v>
      </c>
    </row>
    <row r="142" spans="1:7" s="164" customFormat="1" ht="18.75">
      <c r="A142" s="334"/>
      <c r="B142" s="334"/>
      <c r="C142" s="334"/>
      <c r="E142" s="334"/>
      <c r="F142" s="186"/>
      <c r="G142" s="186"/>
    </row>
    <row r="143" spans="1:7" s="164" customFormat="1" ht="18.75">
      <c r="A143" s="335" t="s">
        <v>211</v>
      </c>
      <c r="B143" s="335"/>
      <c r="C143" s="335"/>
      <c r="E143" s="335" t="s">
        <v>214</v>
      </c>
    </row>
    <row r="144" spans="1:7" s="164" customFormat="1" ht="18.75">
      <c r="A144" s="335"/>
      <c r="B144" s="335"/>
      <c r="C144" s="335"/>
      <c r="E144" s="335"/>
    </row>
    <row r="145" spans="1:7" s="164" customFormat="1" ht="18.75">
      <c r="A145" s="335"/>
      <c r="B145" s="335"/>
      <c r="C145" s="335"/>
      <c r="E145" s="335"/>
    </row>
    <row r="146" spans="1:7" s="164" customFormat="1" ht="18.75">
      <c r="A146" s="334"/>
      <c r="B146" s="334"/>
      <c r="C146" s="334"/>
      <c r="E146" s="334"/>
      <c r="F146" s="186"/>
      <c r="G146" s="186"/>
    </row>
    <row r="147" spans="1:7" s="164" customFormat="1" ht="18.75">
      <c r="A147" s="335" t="s">
        <v>215</v>
      </c>
      <c r="B147" s="335"/>
      <c r="C147" s="335"/>
      <c r="E147" s="335" t="s">
        <v>212</v>
      </c>
    </row>
    <row r="148" spans="1:7" s="164" customFormat="1" ht="18.75">
      <c r="A148" s="335"/>
      <c r="B148" s="335"/>
      <c r="C148" s="335"/>
      <c r="D148" s="335"/>
      <c r="E148" s="335"/>
    </row>
    <row r="149" spans="1:7" s="164" customFormat="1" ht="18.75">
      <c r="A149" s="335"/>
      <c r="B149" s="335"/>
      <c r="C149" s="335"/>
      <c r="D149" s="335"/>
      <c r="E149" s="335"/>
    </row>
    <row r="150" spans="1:7" s="164" customFormat="1" ht="18.75">
      <c r="A150" s="334"/>
      <c r="B150" s="334"/>
      <c r="C150" s="334"/>
      <c r="D150" s="335"/>
      <c r="E150" s="335"/>
    </row>
    <row r="151" spans="1:7" s="164" customFormat="1" ht="18.75">
      <c r="A151" s="335" t="s">
        <v>213</v>
      </c>
      <c r="B151" s="335"/>
      <c r="C151" s="335"/>
      <c r="D151" s="335"/>
      <c r="E151" s="335"/>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9" orientation="landscape" verticalDpi="0" r:id="rId1"/>
  <rowBreaks count="2" manualBreakCount="2">
    <brk id="49"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view="pageBreakPreview" topLeftCell="A61" zoomScale="60" zoomScaleNormal="100" workbookViewId="0">
      <selection activeCell="E6" sqref="E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198</v>
      </c>
      <c r="B1" s="189"/>
      <c r="C1" s="189"/>
      <c r="D1" s="189"/>
      <c r="O1" s="165"/>
      <c r="P1" s="165"/>
    </row>
    <row r="2" spans="1:16" s="164" customFormat="1">
      <c r="A2" s="166" t="s">
        <v>84</v>
      </c>
      <c r="O2" s="165"/>
      <c r="P2"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276" t="s">
        <v>2</v>
      </c>
      <c r="E8" s="276" t="s">
        <v>26</v>
      </c>
      <c r="F8" s="275" t="s">
        <v>136</v>
      </c>
      <c r="O8" s="165"/>
      <c r="P8" s="165"/>
    </row>
    <row r="9" spans="1:16" s="164" customFormat="1">
      <c r="A9" s="393" t="s">
        <v>134</v>
      </c>
      <c r="B9" s="394"/>
      <c r="C9" s="170"/>
      <c r="D9" s="178">
        <v>345137</v>
      </c>
      <c r="E9" s="178">
        <v>562000</v>
      </c>
      <c r="F9" s="179">
        <f>D9+E9</f>
        <v>907137</v>
      </c>
      <c r="O9" s="165"/>
      <c r="P9" s="165"/>
    </row>
    <row r="10" spans="1:16" s="164" customFormat="1">
      <c r="A10" s="395" t="s">
        <v>135</v>
      </c>
      <c r="B10" s="396"/>
      <c r="C10" s="232"/>
      <c r="D10" s="291">
        <v>357985</v>
      </c>
      <c r="E10" s="291">
        <v>600152</v>
      </c>
      <c r="F10" s="292">
        <f>D10+E10</f>
        <v>958137</v>
      </c>
      <c r="O10" s="165"/>
      <c r="P10" s="165"/>
    </row>
    <row r="11" spans="1:16" s="164" customFormat="1">
      <c r="A11" s="190" t="s">
        <v>137</v>
      </c>
      <c r="B11" s="191"/>
      <c r="C11" s="170"/>
      <c r="D11" s="178">
        <f>D10-D9</f>
        <v>12848</v>
      </c>
      <c r="E11" s="178">
        <f>E10-E9</f>
        <v>38152</v>
      </c>
      <c r="F11" s="179">
        <f>D11+E11</f>
        <v>51000</v>
      </c>
      <c r="O11" s="165"/>
      <c r="P11" s="165"/>
    </row>
    <row r="12" spans="1:16" s="164" customFormat="1">
      <c r="A12" s="192" t="s">
        <v>138</v>
      </c>
      <c r="B12" s="193"/>
      <c r="C12" s="186"/>
      <c r="D12" s="175">
        <f>D11/D9</f>
        <v>3.7225797292089809E-2</v>
      </c>
      <c r="E12" s="175">
        <f>E11/E9</f>
        <v>6.7886120996441285E-2</v>
      </c>
      <c r="F12" s="176">
        <f>F11/F9</f>
        <v>5.6220835441614665E-2</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646.94502645542161</v>
      </c>
      <c r="N19" s="165"/>
      <c r="O19" s="165"/>
    </row>
    <row r="20" spans="1:16" s="164" customFormat="1">
      <c r="A20" s="171" t="s">
        <v>195</v>
      </c>
      <c r="B20" s="170"/>
      <c r="C20" s="170"/>
      <c r="D20" s="170"/>
      <c r="E20" s="170"/>
      <c r="F20" s="200">
        <f>SUM(D91)*0.5</f>
        <v>297.35837395376984</v>
      </c>
      <c r="N20" s="165"/>
      <c r="O20" s="165"/>
    </row>
    <row r="21" spans="1:16" s="164" customFormat="1">
      <c r="A21" s="174" t="s">
        <v>196</v>
      </c>
      <c r="B21" s="186"/>
      <c r="C21" s="186"/>
      <c r="D21" s="186"/>
      <c r="E21" s="186"/>
      <c r="F21" s="201">
        <f>SUM(J91)*0.5</f>
        <v>281.28044628496593</v>
      </c>
      <c r="N21" s="165"/>
      <c r="O21" s="165"/>
    </row>
    <row r="22" spans="1:16" s="164" customFormat="1">
      <c r="N22" s="165"/>
      <c r="O22" s="165"/>
    </row>
    <row r="23" spans="1:16" s="164" customFormat="1">
      <c r="A23" s="167"/>
      <c r="D23" s="382" t="s">
        <v>2</v>
      </c>
      <c r="E23" s="383"/>
      <c r="F23" s="383"/>
      <c r="G23" s="383"/>
      <c r="H23" s="383"/>
      <c r="I23" s="383"/>
      <c r="J23" s="392" t="s">
        <v>26</v>
      </c>
      <c r="K23" s="383"/>
      <c r="L23" s="383"/>
      <c r="M23" s="383"/>
      <c r="N23" s="383"/>
      <c r="O23" s="384"/>
    </row>
    <row r="24" spans="1:16" s="164" customFormat="1">
      <c r="A24" s="167"/>
      <c r="D24" s="378" t="s">
        <v>135</v>
      </c>
      <c r="E24" s="379"/>
      <c r="F24" s="378" t="s">
        <v>152</v>
      </c>
      <c r="G24" s="379"/>
      <c r="H24" s="378" t="s">
        <v>153</v>
      </c>
      <c r="I24" s="389"/>
      <c r="J24" s="390" t="s">
        <v>135</v>
      </c>
      <c r="K24" s="379"/>
      <c r="L24" s="378" t="s">
        <v>152</v>
      </c>
      <c r="M24" s="379"/>
      <c r="N24" s="378" t="s">
        <v>153</v>
      </c>
      <c r="O24" s="37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149</v>
      </c>
      <c r="N25" s="235" t="s">
        <v>154</v>
      </c>
      <c r="O25" s="222" t="s">
        <v>155</v>
      </c>
    </row>
    <row r="26" spans="1:16" s="164" customFormat="1">
      <c r="A26" s="168" t="s">
        <v>14</v>
      </c>
      <c r="B26" s="169"/>
      <c r="C26" s="169"/>
      <c r="D26" s="180"/>
      <c r="E26" s="177"/>
      <c r="F26" s="180"/>
      <c r="G26" s="177"/>
      <c r="H26" s="180"/>
      <c r="I26" s="169"/>
      <c r="J26" s="253"/>
      <c r="K26" s="177"/>
      <c r="L26" s="180"/>
      <c r="M26" s="177"/>
      <c r="N26" s="281"/>
      <c r="O26" s="280"/>
      <c r="P26" s="165"/>
    </row>
    <row r="27" spans="1:16" s="164" customFormat="1">
      <c r="A27" s="171"/>
      <c r="B27" s="170" t="s">
        <v>145</v>
      </c>
      <c r="C27" s="170"/>
      <c r="D27" s="171"/>
      <c r="E27" s="181"/>
      <c r="F27" s="171"/>
      <c r="G27" s="181"/>
      <c r="H27" s="171"/>
      <c r="I27" s="170"/>
      <c r="J27" s="251">
        <v>646.95000000000005</v>
      </c>
      <c r="K27" s="234">
        <f>SUM(J59*J27)</f>
        <v>646.95000000000005</v>
      </c>
      <c r="L27" s="216">
        <f>SUM('FY19 Final'!I33)</f>
        <v>235</v>
      </c>
      <c r="M27" s="234">
        <f>SUM('FY19 Final'!L34)</f>
        <v>235</v>
      </c>
      <c r="N27" s="244">
        <f>SUM(J27-L27)</f>
        <v>411.95000000000005</v>
      </c>
      <c r="O27" s="240">
        <f>SUM(N27/L27)</f>
        <v>1.7529787234042555</v>
      </c>
    </row>
    <row r="28" spans="1:16" s="164" customFormat="1">
      <c r="A28" s="171"/>
      <c r="B28" s="170" t="s">
        <v>158</v>
      </c>
      <c r="C28" s="170"/>
      <c r="D28" s="171"/>
      <c r="E28" s="181"/>
      <c r="F28" s="171"/>
      <c r="G28" s="181"/>
      <c r="H28" s="171"/>
      <c r="I28" s="170"/>
      <c r="J28" s="254"/>
      <c r="K28" s="234">
        <v>1853</v>
      </c>
      <c r="L28" s="216"/>
      <c r="M28" s="234">
        <f>SUM('FY19 Final'!L36)</f>
        <v>2500</v>
      </c>
      <c r="N28" s="277"/>
      <c r="O28" s="184"/>
    </row>
    <row r="29" spans="1:16" s="164" customFormat="1">
      <c r="A29" s="174"/>
      <c r="B29" s="228" t="s">
        <v>160</v>
      </c>
      <c r="C29" s="228"/>
      <c r="D29" s="229"/>
      <c r="E29" s="231"/>
      <c r="F29" s="229"/>
      <c r="G29" s="231"/>
      <c r="H29" s="229"/>
      <c r="I29" s="228"/>
      <c r="J29" s="252"/>
      <c r="K29" s="238">
        <f>SUM(K27:K28)</f>
        <v>2499.9499999999998</v>
      </c>
      <c r="L29" s="243"/>
      <c r="M29" s="238">
        <f>SUM(M27:M28)</f>
        <v>2735</v>
      </c>
      <c r="N29" s="245"/>
      <c r="O29" s="242"/>
    </row>
    <row r="30" spans="1:16" s="164" customFormat="1">
      <c r="A30" s="241" t="s">
        <v>159</v>
      </c>
      <c r="B30" s="170"/>
      <c r="C30" s="170"/>
      <c r="D30" s="171"/>
      <c r="E30" s="273"/>
      <c r="F30" s="171"/>
      <c r="G30" s="181"/>
      <c r="H30" s="171"/>
      <c r="I30" s="170"/>
      <c r="J30" s="254"/>
      <c r="K30" s="234"/>
      <c r="L30" s="171"/>
      <c r="M30" s="234"/>
      <c r="N30" s="277"/>
      <c r="O30" s="184"/>
    </row>
    <row r="31" spans="1:16" s="164" customFormat="1">
      <c r="A31" s="171"/>
      <c r="B31" s="170" t="s">
        <v>145</v>
      </c>
      <c r="C31" s="170"/>
      <c r="D31" s="239">
        <v>297.36</v>
      </c>
      <c r="E31" s="234">
        <f>SUM(D31*F60)</f>
        <v>1486.8000000000002</v>
      </c>
      <c r="F31" s="216">
        <f>SUM('FY19 Final'!D39)</f>
        <v>238</v>
      </c>
      <c r="G31" s="234">
        <f>SUM('FY19 Final'!G40)</f>
        <v>1190</v>
      </c>
      <c r="H31" s="216">
        <f>SUM(D31-F31)</f>
        <v>59.360000000000014</v>
      </c>
      <c r="I31" s="182">
        <f>SUM(H31/F31)</f>
        <v>0.24941176470588242</v>
      </c>
      <c r="J31" s="251">
        <v>281.27999999999997</v>
      </c>
      <c r="K31" s="234">
        <f>SUM(J31*J60)</f>
        <v>1125.1199999999999</v>
      </c>
      <c r="L31" s="216">
        <f>SUM('FY19 Final'!I39)</f>
        <v>276</v>
      </c>
      <c r="M31" s="234">
        <f>SUM('FY19 Final'!L40)</f>
        <v>1104</v>
      </c>
      <c r="N31" s="244">
        <f>SUM(J31-L31)</f>
        <v>5.2799999999999727</v>
      </c>
      <c r="O31" s="240">
        <f>SUM(N31/L31)</f>
        <v>1.9130434782608598E-2</v>
      </c>
    </row>
    <row r="32" spans="1:16" s="164" customFormat="1">
      <c r="A32" s="174"/>
      <c r="B32" s="228" t="s">
        <v>160</v>
      </c>
      <c r="C32" s="228"/>
      <c r="D32" s="229"/>
      <c r="E32" s="238">
        <f>SUM(E31)</f>
        <v>1486.8000000000002</v>
      </c>
      <c r="F32" s="243"/>
      <c r="G32" s="238">
        <f>SUM(G31)</f>
        <v>1190</v>
      </c>
      <c r="H32" s="229"/>
      <c r="I32" s="228"/>
      <c r="J32" s="252"/>
      <c r="K32" s="238">
        <f>SUM(K31)</f>
        <v>1125.1199999999999</v>
      </c>
      <c r="L32" s="243"/>
      <c r="M32" s="238">
        <f>SUM(M31)</f>
        <v>1104</v>
      </c>
      <c r="N32" s="245"/>
      <c r="O32" s="242"/>
    </row>
    <row r="33" spans="1:16" s="164" customFormat="1">
      <c r="D33" s="274"/>
      <c r="E33" s="188"/>
      <c r="G33" s="188"/>
      <c r="K33" s="188"/>
      <c r="M33" s="188"/>
      <c r="N33" s="165"/>
      <c r="O33" s="165"/>
    </row>
    <row r="34" spans="1:16" s="164" customFormat="1" ht="18.75">
      <c r="A34" s="287" t="s">
        <v>179</v>
      </c>
      <c r="D34" s="382" t="s">
        <v>2</v>
      </c>
      <c r="E34" s="383"/>
      <c r="F34" s="383"/>
      <c r="G34" s="383"/>
      <c r="H34" s="383"/>
      <c r="I34" s="383"/>
      <c r="J34" s="392" t="s">
        <v>26</v>
      </c>
      <c r="K34" s="383"/>
      <c r="L34" s="383"/>
      <c r="M34" s="383"/>
      <c r="N34" s="383"/>
      <c r="O34" s="384"/>
    </row>
    <row r="35" spans="1:16" s="164" customFormat="1">
      <c r="B35" s="170"/>
      <c r="C35" s="170"/>
      <c r="D35" s="378" t="s">
        <v>135</v>
      </c>
      <c r="E35" s="379"/>
      <c r="F35" s="378" t="s">
        <v>152</v>
      </c>
      <c r="G35" s="379"/>
      <c r="H35" s="210"/>
      <c r="I35" s="211"/>
      <c r="J35" s="390" t="s">
        <v>135</v>
      </c>
      <c r="K35" s="379"/>
      <c r="L35" s="378" t="s">
        <v>152</v>
      </c>
      <c r="M35" s="379"/>
      <c r="N35" s="278"/>
      <c r="O35" s="184"/>
    </row>
    <row r="36" spans="1:16" s="164" customFormat="1">
      <c r="B36" s="170"/>
      <c r="C36" s="170"/>
      <c r="D36" s="171"/>
      <c r="E36" s="181" t="s">
        <v>151</v>
      </c>
      <c r="F36" s="171"/>
      <c r="G36" s="181" t="s">
        <v>151</v>
      </c>
      <c r="H36" s="221"/>
      <c r="I36" s="221"/>
      <c r="J36" s="254"/>
      <c r="K36" s="181" t="s">
        <v>151</v>
      </c>
      <c r="L36" s="171"/>
      <c r="M36" s="181" t="s">
        <v>151</v>
      </c>
      <c r="N36" s="278"/>
      <c r="O36" s="184"/>
    </row>
    <row r="37" spans="1:16" s="164" customFormat="1">
      <c r="A37" s="180"/>
      <c r="B37" s="169" t="s">
        <v>161</v>
      </c>
      <c r="C37" s="169"/>
      <c r="D37" s="180"/>
      <c r="E37" s="247">
        <v>1500</v>
      </c>
      <c r="F37" s="180"/>
      <c r="G37" s="247">
        <f>SUM('FY19 Final'!G46)</f>
        <v>1500</v>
      </c>
      <c r="H37" s="246"/>
      <c r="I37" s="185"/>
      <c r="J37" s="253"/>
      <c r="K37" s="247"/>
      <c r="L37" s="180"/>
      <c r="M37" s="247"/>
      <c r="N37" s="278"/>
      <c r="O37" s="184"/>
    </row>
    <row r="38" spans="1:16" s="164" customFormat="1">
      <c r="A38" s="171"/>
      <c r="B38" s="170" t="s">
        <v>162</v>
      </c>
      <c r="C38" s="170"/>
      <c r="D38" s="171"/>
      <c r="E38" s="234">
        <v>50300</v>
      </c>
      <c r="F38" s="217"/>
      <c r="G38" s="187">
        <f>SUM('FY19 Final'!G48)</f>
        <v>45637</v>
      </c>
      <c r="H38" s="215"/>
      <c r="I38" s="182"/>
      <c r="J38" s="254"/>
      <c r="K38" s="234"/>
      <c r="L38" s="171"/>
      <c r="M38" s="234"/>
      <c r="N38" s="278"/>
      <c r="O38" s="184"/>
    </row>
    <row r="39" spans="1:16" s="164" customFormat="1">
      <c r="A39" s="171"/>
      <c r="B39" s="170" t="s">
        <v>180</v>
      </c>
      <c r="C39" s="170"/>
      <c r="D39" s="171"/>
      <c r="E39" s="181"/>
      <c r="F39" s="171"/>
      <c r="G39" s="181"/>
      <c r="H39" s="215"/>
      <c r="I39" s="182"/>
      <c r="J39" s="254"/>
      <c r="K39" s="234">
        <v>190000</v>
      </c>
      <c r="L39" s="171"/>
      <c r="M39" s="234">
        <f>SUM('FY19 Final'!L50)</f>
        <v>170000</v>
      </c>
      <c r="N39" s="278"/>
      <c r="O39" s="184"/>
    </row>
    <row r="40" spans="1:16" s="164" customFormat="1">
      <c r="A40" s="171"/>
      <c r="B40" s="170" t="s">
        <v>181</v>
      </c>
      <c r="C40" s="170"/>
      <c r="D40" s="171"/>
      <c r="E40" s="234">
        <v>0</v>
      </c>
      <c r="F40" s="233"/>
      <c r="G40" s="234">
        <f>SUM('FY19 Final'!G54)</f>
        <v>0</v>
      </c>
      <c r="H40" s="215"/>
      <c r="I40" s="182"/>
      <c r="J40" s="255"/>
      <c r="K40" s="234">
        <v>0</v>
      </c>
      <c r="L40" s="233"/>
      <c r="M40" s="234">
        <f>SUM('FY19 Final'!L54)</f>
        <v>0</v>
      </c>
      <c r="N40" s="278"/>
      <c r="O40" s="184"/>
    </row>
    <row r="41" spans="1:16" s="164" customFormat="1">
      <c r="A41" s="171"/>
      <c r="B41" s="170" t="s">
        <v>163</v>
      </c>
      <c r="C41" s="170"/>
      <c r="D41" s="171"/>
      <c r="E41" s="234">
        <v>500</v>
      </c>
      <c r="F41" s="233"/>
      <c r="G41" s="234">
        <f>SUM('FY19 Final'!G56)</f>
        <v>500</v>
      </c>
      <c r="H41" s="215"/>
      <c r="I41" s="182"/>
      <c r="J41" s="255"/>
      <c r="K41" s="234">
        <v>1000</v>
      </c>
      <c r="L41" s="233"/>
      <c r="M41" s="234">
        <f>SUM('FY19 Final'!L56)</f>
        <v>1000</v>
      </c>
      <c r="N41" s="278"/>
      <c r="O41" s="184"/>
    </row>
    <row r="42" spans="1:16" s="164" customFormat="1">
      <c r="A42" s="171"/>
      <c r="B42" s="170" t="s">
        <v>182</v>
      </c>
      <c r="C42" s="170"/>
      <c r="D42" s="171"/>
      <c r="E42" s="234">
        <v>0</v>
      </c>
      <c r="F42" s="233"/>
      <c r="G42" s="234">
        <f>SUM('FY19 Final'!G58)</f>
        <v>0</v>
      </c>
      <c r="H42" s="215"/>
      <c r="I42" s="182"/>
      <c r="J42" s="255"/>
      <c r="K42" s="234">
        <v>0</v>
      </c>
      <c r="L42" s="233"/>
      <c r="M42" s="234">
        <f>SUM('FY19 Final'!L58)</f>
        <v>0</v>
      </c>
      <c r="N42" s="278"/>
      <c r="O42" s="184"/>
    </row>
    <row r="43" spans="1:16" s="164" customFormat="1">
      <c r="A43" s="171"/>
      <c r="B43" s="170" t="s">
        <v>164</v>
      </c>
      <c r="C43" s="170"/>
      <c r="D43" s="171"/>
      <c r="E43" s="234">
        <v>1500</v>
      </c>
      <c r="F43" s="233"/>
      <c r="G43" s="234">
        <f>SUM('FY19 Final'!G60)</f>
        <v>0</v>
      </c>
      <c r="H43" s="215"/>
      <c r="I43" s="182"/>
      <c r="J43" s="255"/>
      <c r="K43" s="234">
        <v>3500</v>
      </c>
      <c r="L43" s="233"/>
      <c r="M43" s="234">
        <f>SUM('FY19 Final'!L60)</f>
        <v>0</v>
      </c>
      <c r="N43" s="278"/>
      <c r="O43" s="184"/>
    </row>
    <row r="44" spans="1:16" s="164" customFormat="1">
      <c r="A44" s="171"/>
      <c r="B44" s="170"/>
      <c r="C44" s="170"/>
      <c r="D44" s="171"/>
      <c r="E44" s="181"/>
      <c r="F44" s="171"/>
      <c r="G44" s="181"/>
      <c r="H44" s="170"/>
      <c r="I44" s="170"/>
      <c r="J44" s="254"/>
      <c r="K44" s="181"/>
      <c r="L44" s="171"/>
      <c r="M44" s="181"/>
      <c r="N44" s="278"/>
      <c r="O44" s="184"/>
    </row>
    <row r="45" spans="1:16" s="164" customFormat="1">
      <c r="A45" s="174"/>
      <c r="B45" s="228" t="s">
        <v>165</v>
      </c>
      <c r="C45" s="228"/>
      <c r="D45" s="229"/>
      <c r="E45" s="238">
        <f>SUM(E37:E43)</f>
        <v>53800</v>
      </c>
      <c r="F45" s="248"/>
      <c r="G45" s="238">
        <f>SUM(G37:G43)</f>
        <v>47637</v>
      </c>
      <c r="H45" s="230"/>
      <c r="I45" s="230"/>
      <c r="J45" s="256"/>
      <c r="K45" s="238">
        <f>SUM(K37:K43)</f>
        <v>194500</v>
      </c>
      <c r="L45" s="248"/>
      <c r="M45" s="238">
        <f>SUM(M37:M43)</f>
        <v>171000</v>
      </c>
      <c r="N45" s="257"/>
      <c r="O45" s="258"/>
    </row>
    <row r="47" spans="1:16" s="164" customFormat="1">
      <c r="A47" s="288" t="s">
        <v>189</v>
      </c>
      <c r="B47" s="289"/>
      <c r="C47" s="289"/>
      <c r="D47" s="289"/>
      <c r="E47" s="290">
        <f>SUM(E29+E32+E45)</f>
        <v>55286.8</v>
      </c>
      <c r="F47" s="290"/>
      <c r="G47" s="290">
        <f>SUM(G29+G32+G45)</f>
        <v>48827</v>
      </c>
      <c r="H47" s="290"/>
      <c r="I47" s="290"/>
      <c r="J47" s="290"/>
      <c r="K47" s="290">
        <f>SUM(K29+K32+K45)</f>
        <v>198125.07</v>
      </c>
      <c r="L47" s="290"/>
      <c r="M47" s="290">
        <f>SUM(M29+M32+M45)</f>
        <v>174839</v>
      </c>
      <c r="O47" s="165"/>
      <c r="P47" s="165"/>
    </row>
    <row r="48" spans="1:16" s="164" customFormat="1">
      <c r="A48" s="288" t="s">
        <v>190</v>
      </c>
      <c r="B48" s="289"/>
      <c r="C48" s="289"/>
      <c r="D48" s="289"/>
      <c r="E48" s="290">
        <f>SUM(D10-E47)</f>
        <v>302698.2</v>
      </c>
      <c r="F48" s="289"/>
      <c r="G48" s="290">
        <f>SUM(D9-G47)</f>
        <v>296310</v>
      </c>
      <c r="H48" s="289"/>
      <c r="I48" s="289"/>
      <c r="J48" s="289"/>
      <c r="K48" s="290">
        <f>SUM(E10-K47)</f>
        <v>402026.93</v>
      </c>
      <c r="L48" s="289"/>
      <c r="M48" s="290">
        <f>SUM(E9-M47)</f>
        <v>387161</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82" t="s">
        <v>2</v>
      </c>
      <c r="D53" s="383"/>
      <c r="E53" s="383"/>
      <c r="F53" s="384"/>
      <c r="G53" s="382" t="s">
        <v>26</v>
      </c>
      <c r="H53" s="383"/>
      <c r="I53" s="383"/>
      <c r="J53" s="384"/>
    </row>
    <row r="54" spans="1:12" s="164" customFormat="1" ht="60">
      <c r="A54" s="180"/>
      <c r="B54" s="169"/>
      <c r="C54" s="385"/>
      <c r="D54" s="386"/>
      <c r="E54" s="204" t="s">
        <v>172</v>
      </c>
      <c r="F54" s="181"/>
      <c r="G54" s="210"/>
      <c r="H54" s="211"/>
      <c r="I54" s="204" t="s">
        <v>172</v>
      </c>
      <c r="J54" s="181"/>
    </row>
    <row r="55" spans="1:12" s="164" customFormat="1">
      <c r="A55" s="171"/>
      <c r="B55" s="170"/>
      <c r="C55" s="283" t="s">
        <v>140</v>
      </c>
      <c r="D55" s="279" t="s">
        <v>141</v>
      </c>
      <c r="E55" s="220">
        <v>0.98</v>
      </c>
      <c r="F55" s="205" t="s">
        <v>148</v>
      </c>
      <c r="G55" s="283" t="s">
        <v>140</v>
      </c>
      <c r="H55" s="279" t="s">
        <v>141</v>
      </c>
      <c r="I55" s="220">
        <v>0.98</v>
      </c>
      <c r="J55" s="219" t="s">
        <v>148</v>
      </c>
    </row>
    <row r="56" spans="1:12" s="164" customFormat="1">
      <c r="A56" s="171" t="s">
        <v>43</v>
      </c>
      <c r="B56" s="170"/>
      <c r="C56" s="206">
        <v>9292000</v>
      </c>
      <c r="D56" s="172">
        <f>C56/C$61</f>
        <v>0.56515181004281823</v>
      </c>
      <c r="E56" s="202">
        <f>SUM(C56*$E$55)</f>
        <v>9106160</v>
      </c>
      <c r="F56" s="207">
        <v>417</v>
      </c>
      <c r="G56" s="212">
        <v>9222400</v>
      </c>
      <c r="H56" s="172">
        <f>G56/G$61</f>
        <v>0.66811072393633586</v>
      </c>
      <c r="I56" s="202">
        <f>SUM(G56*$E$55)</f>
        <v>9037952</v>
      </c>
      <c r="J56" s="181">
        <v>414</v>
      </c>
    </row>
    <row r="57" spans="1:12" s="164" customFormat="1">
      <c r="A57" s="387" t="s">
        <v>132</v>
      </c>
      <c r="B57" s="388"/>
      <c r="C57" s="206">
        <v>6141700</v>
      </c>
      <c r="D57" s="173">
        <f>C57/C$61</f>
        <v>0.37354637018295056</v>
      </c>
      <c r="E57" s="202">
        <f>SUM(C57*$E$55)</f>
        <v>6018866</v>
      </c>
      <c r="F57" s="207">
        <v>72</v>
      </c>
      <c r="G57" s="213">
        <v>3573400</v>
      </c>
      <c r="H57" s="173">
        <f>G57/G$61</f>
        <v>0.25887262110883313</v>
      </c>
      <c r="I57" s="202">
        <f>SUM(G57*$E$55)</f>
        <v>3501932</v>
      </c>
      <c r="J57" s="181">
        <v>74</v>
      </c>
    </row>
    <row r="58" spans="1:12" s="164" customFormat="1">
      <c r="A58" s="171" t="s">
        <v>133</v>
      </c>
      <c r="B58" s="170"/>
      <c r="C58" s="206">
        <v>1007900</v>
      </c>
      <c r="D58" s="172">
        <f>C58/C$61</f>
        <v>6.1301819774231221E-2</v>
      </c>
      <c r="E58" s="202">
        <f>SUM(C58*$E$55)</f>
        <v>987742</v>
      </c>
      <c r="F58" s="207">
        <v>3</v>
      </c>
      <c r="G58" s="212">
        <v>1007900</v>
      </c>
      <c r="H58" s="172">
        <f>G58/G$61</f>
        <v>7.3016654954830951E-2</v>
      </c>
      <c r="I58" s="202">
        <f>SUM(G58*$E$55)</f>
        <v>987742</v>
      </c>
      <c r="J58" s="181">
        <v>3</v>
      </c>
    </row>
    <row r="59" spans="1:12" s="164" customFormat="1">
      <c r="A59" s="171" t="s">
        <v>14</v>
      </c>
      <c r="B59" s="170"/>
      <c r="C59" s="206"/>
      <c r="D59" s="172"/>
      <c r="E59" s="202"/>
      <c r="F59" s="227">
        <v>0</v>
      </c>
      <c r="G59" s="212"/>
      <c r="H59" s="172"/>
      <c r="I59" s="202"/>
      <c r="J59" s="181">
        <v>1</v>
      </c>
    </row>
    <row r="60" spans="1:12" s="164" customFormat="1">
      <c r="A60" s="171" t="s">
        <v>159</v>
      </c>
      <c r="B60" s="170"/>
      <c r="C60" s="206"/>
      <c r="D60" s="172"/>
      <c r="E60" s="202"/>
      <c r="F60" s="207">
        <v>5</v>
      </c>
      <c r="G60" s="212"/>
      <c r="H60" s="172"/>
      <c r="I60" s="202"/>
      <c r="J60" s="181">
        <v>4</v>
      </c>
    </row>
    <row r="61" spans="1:12" s="164" customFormat="1">
      <c r="A61" s="174" t="s">
        <v>41</v>
      </c>
      <c r="B61" s="186"/>
      <c r="C61" s="208">
        <f>SUM(C56:C58)</f>
        <v>16441600</v>
      </c>
      <c r="D61" s="175">
        <f>SUM(D56:D58)</f>
        <v>1</v>
      </c>
      <c r="E61" s="203">
        <f>SUM(C61*$E$55)</f>
        <v>16112768</v>
      </c>
      <c r="F61" s="209"/>
      <c r="G61" s="208">
        <f>SUM(G56:G58)</f>
        <v>13803700</v>
      </c>
      <c r="H61" s="175">
        <f>G61/G$61</f>
        <v>1</v>
      </c>
      <c r="I61" s="203">
        <f>SUM(G61*$E$55)</f>
        <v>13527626</v>
      </c>
      <c r="J61" s="214"/>
    </row>
    <row r="64" spans="1:12" s="164" customFormat="1">
      <c r="A64" s="167" t="s">
        <v>157</v>
      </c>
      <c r="H64" s="167" t="s">
        <v>183</v>
      </c>
      <c r="I64" s="167"/>
      <c r="J64" s="167"/>
      <c r="K64" s="167"/>
      <c r="L64" s="167"/>
    </row>
    <row r="65" spans="1:12" s="164" customFormat="1">
      <c r="A65" s="167"/>
      <c r="C65" s="378" t="s">
        <v>2</v>
      </c>
      <c r="D65" s="389"/>
      <c r="E65" s="389"/>
      <c r="F65" s="379"/>
      <c r="H65" s="167" t="s">
        <v>184</v>
      </c>
      <c r="I65" s="167"/>
      <c r="J65" s="167"/>
      <c r="K65" s="167"/>
      <c r="L65" s="167"/>
    </row>
    <row r="66" spans="1:12" s="164" customFormat="1">
      <c r="A66" s="180"/>
      <c r="B66" s="169"/>
      <c r="C66" s="169"/>
      <c r="D66" s="169" t="s">
        <v>156</v>
      </c>
      <c r="E66" s="169" t="s">
        <v>166</v>
      </c>
      <c r="F66" s="177" t="s">
        <v>167</v>
      </c>
      <c r="H66" s="167" t="s">
        <v>185</v>
      </c>
      <c r="I66" s="167"/>
      <c r="J66" s="167"/>
      <c r="K66" s="167"/>
      <c r="L66" s="167"/>
    </row>
    <row r="67" spans="1:12" s="164" customFormat="1">
      <c r="A67" s="387" t="s">
        <v>43</v>
      </c>
      <c r="B67" s="388"/>
      <c r="C67" s="388"/>
      <c r="D67" s="182">
        <f>SUM(-(K68)*5/100)</f>
        <v>-3.0102956517231768E-2</v>
      </c>
      <c r="E67" s="182">
        <f>SUM(D56+D67)</f>
        <v>0.53504885352558651</v>
      </c>
      <c r="F67" s="195">
        <f>SUM('FY19 Final'!C11)</f>
        <v>0.57700966350845162</v>
      </c>
      <c r="J67" s="286" t="s">
        <v>186</v>
      </c>
      <c r="K67" s="383" t="s">
        <v>187</v>
      </c>
      <c r="L67" s="384"/>
    </row>
    <row r="68" spans="1:12" s="164" customFormat="1">
      <c r="A68" s="190" t="s">
        <v>132</v>
      </c>
      <c r="B68" s="191"/>
      <c r="C68" s="170"/>
      <c r="D68" s="182">
        <f>SUM(-(K69)*5/100)</f>
        <v>-1.9897043482768228E-2</v>
      </c>
      <c r="E68" s="182">
        <f>SUM(D57+D68)</f>
        <v>0.35364932670018234</v>
      </c>
      <c r="F68" s="195">
        <f>SUM('FY19 Final'!C18)</f>
        <v>0.30546539078976365</v>
      </c>
      <c r="H68" s="168" t="s">
        <v>43</v>
      </c>
      <c r="I68" s="169"/>
      <c r="J68" s="284">
        <f>SUM(C56)</f>
        <v>9292000</v>
      </c>
      <c r="K68" s="185">
        <f>SUM(J68/J70)</f>
        <v>0.60205913034463543</v>
      </c>
      <c r="L68" s="177"/>
    </row>
    <row r="69" spans="1:12" s="164" customFormat="1">
      <c r="A69" s="171" t="s">
        <v>133</v>
      </c>
      <c r="B69" s="170"/>
      <c r="C69" s="170"/>
      <c r="D69" s="182">
        <v>0.05</v>
      </c>
      <c r="E69" s="182">
        <f>SUM(D58+D69)</f>
        <v>0.11130181977423123</v>
      </c>
      <c r="F69" s="195">
        <f>SUM('FY19 Final'!C25)</f>
        <v>0.11752494570178476</v>
      </c>
      <c r="H69" s="241" t="s">
        <v>132</v>
      </c>
      <c r="I69" s="170"/>
      <c r="J69" s="202">
        <f>SUM(C57)</f>
        <v>6141700</v>
      </c>
      <c r="K69" s="182">
        <f>SUM(J69/J70)</f>
        <v>0.39794086965536457</v>
      </c>
      <c r="L69" s="181"/>
    </row>
    <row r="70" spans="1:12" s="164" customFormat="1">
      <c r="A70" s="174" t="s">
        <v>142</v>
      </c>
      <c r="B70" s="186"/>
      <c r="C70" s="186"/>
      <c r="D70" s="186"/>
      <c r="E70" s="196">
        <f>SUM(E67:E69)</f>
        <v>1</v>
      </c>
      <c r="F70" s="197">
        <f>SUM(F67:F69)</f>
        <v>1</v>
      </c>
      <c r="H70" s="285" t="s">
        <v>142</v>
      </c>
      <c r="I70" s="186"/>
      <c r="J70" s="203">
        <f>SUM(J68:J69)</f>
        <v>15433700</v>
      </c>
      <c r="K70" s="186"/>
      <c r="L70" s="214"/>
    </row>
    <row r="72" spans="1:12" s="164" customFormat="1">
      <c r="A72" s="167" t="s">
        <v>143</v>
      </c>
    </row>
    <row r="73" spans="1:12" s="164" customFormat="1">
      <c r="A73" s="194"/>
      <c r="B73" s="170"/>
      <c r="C73" s="374" t="s">
        <v>135</v>
      </c>
      <c r="D73" s="377"/>
      <c r="E73" s="374" t="s">
        <v>134</v>
      </c>
      <c r="F73" s="377"/>
    </row>
    <row r="74" spans="1:12" s="164" customFormat="1">
      <c r="A74" s="180"/>
      <c r="B74" s="169"/>
      <c r="C74" s="168" t="s">
        <v>2</v>
      </c>
      <c r="D74" s="198" t="s">
        <v>26</v>
      </c>
      <c r="E74" s="168" t="s">
        <v>2</v>
      </c>
      <c r="F74" s="198" t="s">
        <v>26</v>
      </c>
    </row>
    <row r="75" spans="1:12" s="164" customFormat="1">
      <c r="A75" s="380" t="s">
        <v>191</v>
      </c>
      <c r="B75" s="381"/>
      <c r="C75" s="233">
        <f>SUM(E48)</f>
        <v>302698.2</v>
      </c>
      <c r="D75" s="234">
        <f>SUM(K48)</f>
        <v>402026.93</v>
      </c>
      <c r="E75" s="309">
        <f>SUM(G48)</f>
        <v>296310</v>
      </c>
      <c r="F75" s="200">
        <f>SUM(M48)</f>
        <v>387161</v>
      </c>
    </row>
    <row r="76" spans="1:12" s="164" customFormat="1">
      <c r="A76" s="380"/>
      <c r="B76" s="381"/>
      <c r="C76" s="233"/>
      <c r="D76" s="234"/>
      <c r="E76" s="217"/>
      <c r="F76" s="200"/>
    </row>
    <row r="77" spans="1:12" s="164" customFormat="1">
      <c r="A77" s="171" t="s">
        <v>43</v>
      </c>
      <c r="B77" s="170"/>
      <c r="C77" s="216">
        <f>SUM($C$75)*E67</f>
        <v>161958.32487425869</v>
      </c>
      <c r="D77" s="200">
        <f>SUM($D$75)*H56</f>
        <v>268598.50324420264</v>
      </c>
      <c r="E77" s="218">
        <f>SUM('FY19 Final'!G17)</f>
        <v>172347.01639333941</v>
      </c>
      <c r="F77" s="200">
        <f>SUM('FY19 Final'!L17)</f>
        <v>257191.10883620693</v>
      </c>
    </row>
    <row r="78" spans="1:12" s="164" customFormat="1">
      <c r="A78" s="171" t="s">
        <v>132</v>
      </c>
      <c r="B78" s="170"/>
      <c r="C78" s="216">
        <f>SUM($C$75)*E68</f>
        <v>107049.01462335714</v>
      </c>
      <c r="D78" s="200">
        <f>SUM($D$75)*H57</f>
        <v>104073.76512543738</v>
      </c>
      <c r="E78" s="218">
        <f>SUM('FY19 Final'!G24)</f>
        <v>89069.449944914872</v>
      </c>
      <c r="F78" s="200">
        <f>SUM('FY19 Final'!L24)</f>
        <v>100646.7640086207</v>
      </c>
    </row>
    <row r="79" spans="1:12" s="164" customFormat="1">
      <c r="A79" s="174" t="s">
        <v>133</v>
      </c>
      <c r="B79" s="186"/>
      <c r="C79" s="296">
        <f>SUM($C$75)*E69</f>
        <v>33690.860502384203</v>
      </c>
      <c r="D79" s="201">
        <f>SUM($D$75)*H58</f>
        <v>29354.661630359977</v>
      </c>
      <c r="E79" s="297">
        <f>SUM('FY19 Final'!G31)</f>
        <v>34823.816660895842</v>
      </c>
      <c r="F79" s="201">
        <f>SUM('FY19 Final'!L31)</f>
        <v>29323.127155172413</v>
      </c>
    </row>
    <row r="81" spans="1:23" ht="23.25">
      <c r="A81" s="295" t="s">
        <v>144</v>
      </c>
    </row>
    <row r="82" spans="1:23" ht="23.25">
      <c r="A82" s="295"/>
    </row>
    <row r="83" spans="1:23">
      <c r="A83" s="167"/>
      <c r="C83" s="180"/>
      <c r="D83" s="382" t="s">
        <v>2</v>
      </c>
      <c r="E83" s="383"/>
      <c r="F83" s="383"/>
      <c r="G83" s="383"/>
      <c r="H83" s="383"/>
      <c r="I83" s="383"/>
      <c r="J83" s="392" t="s">
        <v>26</v>
      </c>
      <c r="K83" s="383"/>
      <c r="L83" s="383"/>
      <c r="M83" s="383"/>
      <c r="N83" s="383"/>
      <c r="O83" s="384"/>
      <c r="P83" s="164"/>
    </row>
    <row r="84" spans="1:23">
      <c r="C84" s="171"/>
      <c r="D84" s="378" t="s">
        <v>135</v>
      </c>
      <c r="E84" s="379"/>
      <c r="F84" s="378" t="s">
        <v>152</v>
      </c>
      <c r="G84" s="379"/>
      <c r="H84" s="378" t="s">
        <v>153</v>
      </c>
      <c r="I84" s="389"/>
      <c r="J84" s="390" t="s">
        <v>135</v>
      </c>
      <c r="K84" s="379"/>
      <c r="L84" s="378" t="s">
        <v>152</v>
      </c>
      <c r="M84" s="379"/>
      <c r="N84" s="386" t="s">
        <v>153</v>
      </c>
      <c r="O84" s="391"/>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116.51678048507819</v>
      </c>
      <c r="E87" s="234">
        <f>SUM(D87*F56)</f>
        <v>48587.497462277606</v>
      </c>
      <c r="F87" s="237">
        <f>SUM('FY19 Final'!D12)</f>
        <v>141.19996523791662</v>
      </c>
      <c r="G87" s="234">
        <f>SUM('FY19 Final'!G13)</f>
        <v>58597.985573735394</v>
      </c>
      <c r="H87" s="216">
        <f>SUM(D87-F87)</f>
        <v>-24.683184752838429</v>
      </c>
      <c r="I87" s="183">
        <f>SUM(H87/F87)</f>
        <v>-0.1748101333541279</v>
      </c>
      <c r="J87" s="305">
        <f>SUM(D77*C87)/J56</f>
        <v>194.63659655377003</v>
      </c>
      <c r="K87" s="234">
        <f>SUM(J87*J56)</f>
        <v>80579.55097326079</v>
      </c>
      <c r="L87" s="237">
        <f>SUM('FY19 Final'!I12)</f>
        <v>187.27507924966525</v>
      </c>
      <c r="M87" s="234">
        <f>SUM('FY19 Final'!L13)</f>
        <v>77157.332650862081</v>
      </c>
      <c r="N87" s="199">
        <f>SUM(J87-L87)</f>
        <v>7.3615173041047797</v>
      </c>
      <c r="O87" s="224">
        <f>SUM(N87/L87)</f>
        <v>3.930857930269939E-2</v>
      </c>
      <c r="P87" s="164"/>
    </row>
    <row r="88" spans="1:23">
      <c r="A88" s="171"/>
      <c r="B88" s="170" t="s">
        <v>147</v>
      </c>
      <c r="C88" s="223">
        <v>0.7</v>
      </c>
      <c r="D88" s="304">
        <f>SUM(C77*C88)/(E56*0.001)</f>
        <v>12.449905054598325</v>
      </c>
      <c r="E88" s="234">
        <f>SUM(D88)*(E56*0.001)</f>
        <v>113370.82741198108</v>
      </c>
      <c r="F88" s="216">
        <f>SUM('FY19 Final'!D15)</f>
        <v>12.239585752893625</v>
      </c>
      <c r="G88" s="234">
        <f>SUM('FY19 Final'!G16)</f>
        <v>113749.03081960401</v>
      </c>
      <c r="H88" s="216">
        <f>SUM(D88-F88)</f>
        <v>0.21031930170470048</v>
      </c>
      <c r="I88" s="183">
        <f>SUM(H88/F88)</f>
        <v>1.7183531040254184E-2</v>
      </c>
      <c r="J88" s="305">
        <f>SUM(D77*C88)/(I56*0.001)</f>
        <v>20.803269620257094</v>
      </c>
      <c r="K88" s="234">
        <f>SUM(J88)*(I56*0.001)</f>
        <v>188018.95227094184</v>
      </c>
      <c r="L88" s="216">
        <f>SUM('FY19 Final'!I15)</f>
        <v>19.527401477832512</v>
      </c>
      <c r="M88" s="234">
        <f>SUM('FY19 Final'!L16)</f>
        <v>180033.77618534485</v>
      </c>
      <c r="N88" s="199">
        <f>SUM(J88-L88)</f>
        <v>1.2758681424245815</v>
      </c>
      <c r="O88" s="224">
        <f t="shared" ref="O88:O96" si="0">SUM(N88/L88)</f>
        <v>6.5337323241545772E-2</v>
      </c>
      <c r="P88" s="164"/>
    </row>
    <row r="89" spans="1:23" s="166" customFormat="1">
      <c r="A89" s="298"/>
      <c r="B89" s="299" t="s">
        <v>160</v>
      </c>
      <c r="C89" s="298"/>
      <c r="D89" s="298"/>
      <c r="E89" s="300">
        <f>SUM(E87:E88)</f>
        <v>161958.32487425869</v>
      </c>
      <c r="F89" s="298"/>
      <c r="G89" s="300">
        <f>SUM(G87:G88)</f>
        <v>172347.01639333941</v>
      </c>
      <c r="H89" s="298"/>
      <c r="I89" s="299"/>
      <c r="J89" s="301"/>
      <c r="K89" s="300">
        <f>SUM(K87:K88)</f>
        <v>268598.50324420264</v>
      </c>
      <c r="L89" s="298"/>
      <c r="M89" s="300">
        <f>SUM(M87:M88)</f>
        <v>257191.10883620693</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282"/>
      <c r="O90" s="224"/>
      <c r="P90" s="164"/>
    </row>
    <row r="91" spans="1:23">
      <c r="A91" s="171"/>
      <c r="B91" s="170" t="s">
        <v>145</v>
      </c>
      <c r="C91" s="223">
        <v>0.4</v>
      </c>
      <c r="D91" s="304">
        <f>SUM(C78*C91)/F57</f>
        <v>594.71674790753968</v>
      </c>
      <c r="E91" s="234">
        <f>SUM(D91*F57)</f>
        <v>42819.605849342857</v>
      </c>
      <c r="F91" s="237">
        <f>SUM('FY19 Final'!D19)</f>
        <v>475.03706637287928</v>
      </c>
      <c r="G91" s="234">
        <f>SUM('FY19 Final'!G20)</f>
        <v>35627.779977965947</v>
      </c>
      <c r="H91" s="216">
        <f>SUM(D91-F91)</f>
        <v>119.6796815346604</v>
      </c>
      <c r="I91" s="183">
        <f>SUM(H91/F91)</f>
        <v>0.25193756446937576</v>
      </c>
      <c r="J91" s="305">
        <f>SUM(D78*C91)/J57</f>
        <v>562.56089256993187</v>
      </c>
      <c r="K91" s="234">
        <f>SUM(J91*J57)</f>
        <v>41629.506050174961</v>
      </c>
      <c r="L91" s="237">
        <f>SUM('FY19 Final'!I19)</f>
        <v>551.4891178554559</v>
      </c>
      <c r="M91" s="234">
        <f>SUM('FY19 Final'!L20)</f>
        <v>40258.705603448281</v>
      </c>
      <c r="N91" s="199">
        <f>SUM(J91-L91)</f>
        <v>11.071774714475964</v>
      </c>
      <c r="O91" s="224">
        <f t="shared" si="0"/>
        <v>2.0076143582905388E-2</v>
      </c>
      <c r="P91" s="164"/>
    </row>
    <row r="92" spans="1:23">
      <c r="A92" s="171"/>
      <c r="B92" s="170" t="s">
        <v>147</v>
      </c>
      <c r="C92" s="223">
        <v>0.6</v>
      </c>
      <c r="D92" s="304">
        <f>SUM(C78*C92)/(E57*0.001)</f>
        <v>10.671347189655707</v>
      </c>
      <c r="E92" s="234">
        <f>SUM(D92)*(E57*0.001)</f>
        <v>64229.408774014286</v>
      </c>
      <c r="F92" s="216">
        <f>SUM('FY19 Final'!D22)</f>
        <v>10.23369983162967</v>
      </c>
      <c r="G92" s="234">
        <f>SUM('FY19 Final'!G23)</f>
        <v>53441.669966948924</v>
      </c>
      <c r="H92" s="216">
        <f>SUM(D92-F92)</f>
        <v>0.43764735802603738</v>
      </c>
      <c r="I92" s="183">
        <f>SUM(H92/F92)</f>
        <v>4.2765311199902963E-2</v>
      </c>
      <c r="J92" s="305">
        <f>SUM(D78*C92)/(I57*0.001)</f>
        <v>17.831373960220365</v>
      </c>
      <c r="K92" s="234">
        <f>SUM(J92)*(I57*0.001)</f>
        <v>62444.259075262424</v>
      </c>
      <c r="L92" s="216">
        <f>SUM('FY19 Final'!I22)</f>
        <v>16.573106629832445</v>
      </c>
      <c r="M92" s="234">
        <f>SUM('FY19 Final'!L23)</f>
        <v>60388.058405172414</v>
      </c>
      <c r="N92" s="199">
        <f>SUM(J92-L92)</f>
        <v>1.2582673303879197</v>
      </c>
      <c r="O92" s="224">
        <f t="shared" si="0"/>
        <v>7.5922237061033196E-2</v>
      </c>
      <c r="P92" s="164"/>
    </row>
    <row r="93" spans="1:23" s="166" customFormat="1">
      <c r="A93" s="298"/>
      <c r="B93" s="299" t="s">
        <v>160</v>
      </c>
      <c r="C93" s="298"/>
      <c r="D93" s="298"/>
      <c r="E93" s="300">
        <f>SUM(E91:E92)</f>
        <v>107049.01462335714</v>
      </c>
      <c r="F93" s="298"/>
      <c r="G93" s="300">
        <f>SUM(G91:G92)</f>
        <v>89069.449944914872</v>
      </c>
      <c r="H93" s="298"/>
      <c r="I93" s="299"/>
      <c r="J93" s="301"/>
      <c r="K93" s="300">
        <f>SUM(K91:K92)</f>
        <v>104073.76512543738</v>
      </c>
      <c r="L93" s="298"/>
      <c r="M93" s="300">
        <f>SUM(M91:M92)</f>
        <v>100646.7640086207</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282"/>
      <c r="O94" s="224"/>
      <c r="P94" s="164"/>
    </row>
    <row r="95" spans="1:23">
      <c r="A95" s="171"/>
      <c r="B95" s="170" t="s">
        <v>145</v>
      </c>
      <c r="C95" s="223">
        <v>0.5</v>
      </c>
      <c r="D95" s="304">
        <f>SUM(C79*C95)/F58</f>
        <v>5615.1434170640341</v>
      </c>
      <c r="E95" s="234">
        <f>SUM(D95*F58)</f>
        <v>16845.430251192101</v>
      </c>
      <c r="F95" s="237">
        <f>SUM('FY19 Final'!D26)</f>
        <v>5803.9694434826406</v>
      </c>
      <c r="G95" s="234">
        <f>SUM('FY19 Final'!G27)</f>
        <v>17411.908330447921</v>
      </c>
      <c r="H95" s="216">
        <f>SUM(D95-F95)</f>
        <v>-188.82602641860649</v>
      </c>
      <c r="I95" s="183">
        <f>SUM(H95/F95)</f>
        <v>-3.2533945648291082E-2</v>
      </c>
      <c r="J95" s="305">
        <f>SUM(D79*C95)/J58</f>
        <v>4892.4436050599961</v>
      </c>
      <c r="K95" s="234">
        <f>SUM(J95*J58)</f>
        <v>14677.330815179988</v>
      </c>
      <c r="L95" s="237">
        <f>SUM('FY19 Final'!I26)</f>
        <v>4887.1878591954019</v>
      </c>
      <c r="M95" s="234">
        <f>SUM('FY19 Final'!L27)</f>
        <v>14661.563577586207</v>
      </c>
      <c r="N95" s="199">
        <f>SUM(J95-L95)</f>
        <v>5.2557458645942461</v>
      </c>
      <c r="O95" s="224">
        <f t="shared" si="0"/>
        <v>1.0754131038170326E-3</v>
      </c>
      <c r="P95" s="164"/>
    </row>
    <row r="96" spans="1:23">
      <c r="A96" s="171"/>
      <c r="B96" s="170" t="s">
        <v>147</v>
      </c>
      <c r="C96" s="223">
        <v>0.5</v>
      </c>
      <c r="D96" s="304">
        <f>SUM(C79*C96)/(E58*0.001)</f>
        <v>17.054484117504469</v>
      </c>
      <c r="E96" s="234">
        <f>SUM(D96)*(E58*0.001)</f>
        <v>16845.430251192101</v>
      </c>
      <c r="F96" s="216">
        <f>SUM('FY19 Final'!D29)</f>
        <v>16.564659144523819</v>
      </c>
      <c r="G96" s="234">
        <f>SUM('FY19 Final'!G30)</f>
        <v>17411.908330447921</v>
      </c>
      <c r="H96" s="216">
        <f>SUM(D96-F96)</f>
        <v>0.48982497298064942</v>
      </c>
      <c r="I96" s="183">
        <f>SUM(H96/F96)</f>
        <v>2.9570483081300392E-2</v>
      </c>
      <c r="J96" s="305">
        <f>SUM(D79*C96)/(I58*0.001)</f>
        <v>14.859478300183639</v>
      </c>
      <c r="K96" s="234">
        <f>SUM(J96)*(I58*0.001)</f>
        <v>14677.330815179988</v>
      </c>
      <c r="L96" s="216">
        <f>SUM('FY19 Final'!I29)</f>
        <v>13.94814391273751</v>
      </c>
      <c r="M96" s="234">
        <f>SUM('FY19 Final'!L30)</f>
        <v>14661.563577586207</v>
      </c>
      <c r="N96" s="199">
        <f>SUM(J96-L96)</f>
        <v>0.9113343874461286</v>
      </c>
      <c r="O96" s="224">
        <f t="shared" si="0"/>
        <v>6.5337323241545689E-2</v>
      </c>
      <c r="P96" s="164"/>
    </row>
    <row r="97" spans="1:23" s="166" customFormat="1">
      <c r="A97" s="298"/>
      <c r="B97" s="299" t="s">
        <v>160</v>
      </c>
      <c r="C97" s="298"/>
      <c r="D97" s="298"/>
      <c r="E97" s="300">
        <f>SUM(E95:E96)</f>
        <v>33690.860502384203</v>
      </c>
      <c r="F97" s="298"/>
      <c r="G97" s="300">
        <f>SUM(G95:G96)</f>
        <v>34823.816660895842</v>
      </c>
      <c r="H97" s="298"/>
      <c r="I97" s="299"/>
      <c r="J97" s="301"/>
      <c r="K97" s="300">
        <f>SUM(K95:K96)</f>
        <v>29354.661630359977</v>
      </c>
      <c r="L97" s="298"/>
      <c r="M97" s="300">
        <f>SUM(M95:M96)</f>
        <v>29323.127155172413</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162039.33356281256</v>
      </c>
      <c r="H103" s="234">
        <f>SUM(K87+K91+K95+K27+K32+(0.5*K39)+K41+K43)</f>
        <v>238158.45783861575</v>
      </c>
    </row>
    <row r="104" spans="1:23">
      <c r="A104" s="171" t="s">
        <v>171</v>
      </c>
      <c r="B104" s="170"/>
      <c r="C104" s="170"/>
      <c r="D104" s="170"/>
      <c r="E104" s="170"/>
      <c r="F104" s="170"/>
      <c r="G104" s="233">
        <f>SUM(E88+E92+E96+E37)</f>
        <v>195945.66643718746</v>
      </c>
      <c r="H104" s="234">
        <f>SUM(K88+K92+K96+K28+(0.5*K39))</f>
        <v>361993.54216138425</v>
      </c>
    </row>
    <row r="105" spans="1:23">
      <c r="A105" s="260" t="s">
        <v>142</v>
      </c>
      <c r="B105" s="232"/>
      <c r="C105" s="232"/>
      <c r="D105" s="232"/>
      <c r="E105" s="232"/>
      <c r="F105" s="232"/>
      <c r="G105" s="261">
        <f>SUM(G103:G104)</f>
        <v>357985</v>
      </c>
      <c r="H105" s="262">
        <f>SUM(H103:H104)</f>
        <v>600152</v>
      </c>
    </row>
    <row r="106" spans="1:23">
      <c r="A106" s="171"/>
      <c r="B106" s="170"/>
      <c r="C106" s="170"/>
      <c r="D106" s="170"/>
      <c r="E106" s="170"/>
      <c r="F106" s="170"/>
      <c r="G106" s="171"/>
      <c r="H106" s="181"/>
    </row>
    <row r="107" spans="1:23" ht="17.25" customHeight="1">
      <c r="A107" s="171" t="s">
        <v>169</v>
      </c>
      <c r="B107" s="170"/>
      <c r="C107" s="170"/>
      <c r="D107" s="170"/>
      <c r="E107" s="170"/>
      <c r="F107" s="170"/>
      <c r="G107" s="233">
        <v>193866</v>
      </c>
      <c r="H107" s="234">
        <v>171010</v>
      </c>
    </row>
    <row r="108" spans="1:23" ht="17.25" customHeight="1">
      <c r="A108" s="174" t="s">
        <v>170</v>
      </c>
      <c r="B108" s="186"/>
      <c r="C108" s="186"/>
      <c r="D108" s="186"/>
      <c r="E108" s="186"/>
      <c r="F108" s="186"/>
      <c r="G108" s="259">
        <f>SUM(G103-G107)/G107</f>
        <v>-0.16416837628664868</v>
      </c>
      <c r="H108" s="197">
        <f>SUM(H103-H107)/H107</f>
        <v>0.39265807753123066</v>
      </c>
    </row>
    <row r="111" spans="1:23" ht="23.25">
      <c r="A111" s="295" t="s">
        <v>174</v>
      </c>
    </row>
    <row r="112" spans="1:23">
      <c r="D112" s="374" t="s">
        <v>135</v>
      </c>
      <c r="E112" s="375"/>
      <c r="F112" s="376" t="s">
        <v>134</v>
      </c>
      <c r="G112" s="377"/>
    </row>
    <row r="113" spans="1:7" s="164" customFormat="1">
      <c r="D113" s="277" t="s">
        <v>2</v>
      </c>
      <c r="E113" s="278"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271.87248779851581</v>
      </c>
      <c r="E115" s="267">
        <f>SUM((I56/J56)/1000)*J88</f>
        <v>454.15205862546344</v>
      </c>
      <c r="F115" s="264">
        <f>SUM(('FY19 Final'!D14/'FY19 Final'!D11)/1000)*'FY19 Final'!D15</f>
        <v>274.09405016772047</v>
      </c>
      <c r="G115" s="200">
        <f>SUM(('FY19 Final'!I14/'FY19 Final'!I11)/1000)*'FY19 Final'!I15</f>
        <v>436.97518491588556</v>
      </c>
    </row>
    <row r="116" spans="1:7" s="164" customFormat="1">
      <c r="A116" s="171" t="s">
        <v>175</v>
      </c>
      <c r="B116" s="170"/>
      <c r="C116" s="170"/>
      <c r="D116" s="216">
        <f>SUM(D87)</f>
        <v>116.51678048507819</v>
      </c>
      <c r="E116" s="267">
        <f>SUM(J87)</f>
        <v>194.63659655377003</v>
      </c>
      <c r="F116" s="264">
        <f>SUM(F87)</f>
        <v>141.19996523791662</v>
      </c>
      <c r="G116" s="200">
        <f>SUM(L87)</f>
        <v>187.27507924966525</v>
      </c>
    </row>
    <row r="117" spans="1:7" s="164" customFormat="1">
      <c r="A117" s="171" t="s">
        <v>142</v>
      </c>
      <c r="B117" s="170"/>
      <c r="C117" s="170"/>
      <c r="D117" s="216">
        <f>SUM(D115:D116)</f>
        <v>388.38926828359399</v>
      </c>
      <c r="E117" s="267">
        <f>SUM(E115:E116)</f>
        <v>648.7886551792335</v>
      </c>
      <c r="F117" s="264">
        <f>SUM(F115:F116)</f>
        <v>415.29401540563708</v>
      </c>
      <c r="G117" s="200">
        <f>SUM(G115:G116)</f>
        <v>624.25026416555079</v>
      </c>
    </row>
    <row r="118" spans="1:7" s="164" customFormat="1">
      <c r="A118" s="260" t="s">
        <v>176</v>
      </c>
      <c r="B118" s="232"/>
      <c r="C118" s="232"/>
      <c r="D118" s="270">
        <f>SUM(D117:E117)</f>
        <v>1037.1779234628275</v>
      </c>
      <c r="E118" s="268"/>
      <c r="F118" s="264">
        <f>SUM(F117:G117)</f>
        <v>1039.5442795711879</v>
      </c>
      <c r="G118" s="200"/>
    </row>
    <row r="119" spans="1:7" s="164" customFormat="1">
      <c r="A119" s="260" t="s">
        <v>177</v>
      </c>
      <c r="B119" s="232"/>
      <c r="C119" s="232"/>
      <c r="D119" s="270">
        <f>SUM(D118-F118)</f>
        <v>-2.3663561083603781</v>
      </c>
      <c r="E119" s="268"/>
      <c r="F119" s="254"/>
      <c r="G119" s="181"/>
    </row>
    <row r="120" spans="1:7" s="164" customFormat="1">
      <c r="A120" s="229" t="s">
        <v>178</v>
      </c>
      <c r="B120" s="228"/>
      <c r="C120" s="228"/>
      <c r="D120" s="271">
        <f>SUM(D119/F118)</f>
        <v>-2.2763398874519327E-3</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892.07512186130941</v>
      </c>
      <c r="E123" s="267">
        <f>SUM((I57/J57)/1000)*J92</f>
        <v>843.84133885489769</v>
      </c>
      <c r="F123" s="264">
        <f>SUM(('FY19 Final'!D21/'FY19 Final'!D18)/1000)*'FY19 Final'!D22</f>
        <v>712.55559955931881</v>
      </c>
      <c r="G123" s="200">
        <f>SUM(('FY19 Final'!I21/'FY19 Final'!I18)/1000)*'FY19 Final'!I22</f>
        <v>827.2336767831838</v>
      </c>
    </row>
    <row r="124" spans="1:7" s="164" customFormat="1">
      <c r="A124" s="171" t="s">
        <v>175</v>
      </c>
      <c r="B124" s="170"/>
      <c r="C124" s="170"/>
      <c r="D124" s="216">
        <f>SUM(D91)</f>
        <v>594.71674790753968</v>
      </c>
      <c r="E124" s="267">
        <f>SUM(J91)</f>
        <v>562.56089256993187</v>
      </c>
      <c r="F124" s="264">
        <f>SUM(F91)</f>
        <v>475.03706637287928</v>
      </c>
      <c r="G124" s="200">
        <f>SUM(L91)</f>
        <v>551.4891178554559</v>
      </c>
    </row>
    <row r="125" spans="1:7" s="164" customFormat="1">
      <c r="A125" s="171" t="s">
        <v>142</v>
      </c>
      <c r="B125" s="170"/>
      <c r="C125" s="170"/>
      <c r="D125" s="216">
        <f>SUM(D123:D124)</f>
        <v>1486.7918697688492</v>
      </c>
      <c r="E125" s="267">
        <f>SUM(E123:E124)</f>
        <v>1406.4022314248296</v>
      </c>
      <c r="F125" s="264">
        <f>SUM(F123:F124)</f>
        <v>1187.5926659321981</v>
      </c>
      <c r="G125" s="200">
        <f>SUM(G123:G124)</f>
        <v>1378.7227946386397</v>
      </c>
    </row>
    <row r="126" spans="1:7" s="164" customFormat="1">
      <c r="A126" s="260" t="s">
        <v>176</v>
      </c>
      <c r="B126" s="232"/>
      <c r="C126" s="232"/>
      <c r="D126" s="270">
        <f>SUM(D125:E125)</f>
        <v>2893.1941011936788</v>
      </c>
      <c r="E126" s="268"/>
      <c r="F126" s="264">
        <f>SUM(F125:G125)</f>
        <v>2566.3154605708378</v>
      </c>
      <c r="G126" s="200"/>
    </row>
    <row r="127" spans="1:7" s="164" customFormat="1">
      <c r="A127" s="260" t="s">
        <v>177</v>
      </c>
      <c r="B127" s="232"/>
      <c r="C127" s="232"/>
      <c r="D127" s="270">
        <f>SUM(D126-F126)</f>
        <v>326.87864062284098</v>
      </c>
      <c r="E127" s="268"/>
      <c r="F127" s="254"/>
      <c r="G127" s="181"/>
    </row>
    <row r="128" spans="1:7" s="164" customFormat="1">
      <c r="A128" s="229" t="s">
        <v>178</v>
      </c>
      <c r="B128" s="228"/>
      <c r="C128" s="228"/>
      <c r="D128" s="271">
        <f>SUM(D127/F126)</f>
        <v>0.12737274339224525</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5615.1434170640323</v>
      </c>
      <c r="E131" s="267">
        <f>SUM((I58/J58)/1000)*J96</f>
        <v>4892.4436050599952</v>
      </c>
      <c r="F131" s="264">
        <f>SUM(('FY19 Final'!D28/'FY19 Final'!D25)/1000)*'FY19 Final'!D29</f>
        <v>5803.9694434826415</v>
      </c>
      <c r="G131" s="200">
        <f>SUM(('FY19 Final'!I28/'FY19 Final'!I25)/1000)*'FY19 Final'!I29</f>
        <v>4887.1878591954037</v>
      </c>
    </row>
    <row r="132" spans="1:7" s="164" customFormat="1">
      <c r="A132" s="171" t="s">
        <v>175</v>
      </c>
      <c r="B132" s="170"/>
      <c r="C132" s="170"/>
      <c r="D132" s="216">
        <f>SUM(D95)</f>
        <v>5615.1434170640341</v>
      </c>
      <c r="E132" s="267">
        <f>SUM(J95)</f>
        <v>4892.4436050599961</v>
      </c>
      <c r="F132" s="264">
        <f>SUM(F95)</f>
        <v>5803.9694434826406</v>
      </c>
      <c r="G132" s="200">
        <f>SUM(L95)</f>
        <v>4887.1878591954019</v>
      </c>
    </row>
    <row r="133" spans="1:7" s="164" customFormat="1">
      <c r="A133" s="171" t="s">
        <v>142</v>
      </c>
      <c r="B133" s="170"/>
      <c r="C133" s="170"/>
      <c r="D133" s="216">
        <f>SUM(D131:D132)</f>
        <v>11230.286834128066</v>
      </c>
      <c r="E133" s="267">
        <f>SUM(E131:E132)</f>
        <v>9784.8872101199922</v>
      </c>
      <c r="F133" s="264">
        <f>SUM(F131:F132)</f>
        <v>11607.938886965283</v>
      </c>
      <c r="G133" s="200">
        <f>SUM(G131:G132)</f>
        <v>9774.3757183908056</v>
      </c>
    </row>
    <row r="134" spans="1:7" s="164" customFormat="1">
      <c r="A134" s="260" t="s">
        <v>176</v>
      </c>
      <c r="B134" s="232"/>
      <c r="C134" s="232"/>
      <c r="D134" s="270">
        <f>SUM(D133:E133)</f>
        <v>21015.174044248059</v>
      </c>
      <c r="E134" s="268"/>
      <c r="F134" s="264">
        <f>SUM(F133:G133)</f>
        <v>21382.314605356089</v>
      </c>
      <c r="G134" s="200"/>
    </row>
    <row r="135" spans="1:7" s="164" customFormat="1">
      <c r="A135" s="260" t="s">
        <v>177</v>
      </c>
      <c r="B135" s="232"/>
      <c r="C135" s="232"/>
      <c r="D135" s="270">
        <f>SUM(D134-F134)</f>
        <v>-367.14056110802994</v>
      </c>
      <c r="E135" s="268"/>
      <c r="F135" s="254"/>
      <c r="G135" s="181"/>
    </row>
    <row r="136" spans="1:7" s="164" customFormat="1">
      <c r="A136" s="229" t="s">
        <v>178</v>
      </c>
      <c r="B136" s="228"/>
      <c r="C136" s="228"/>
      <c r="D136" s="271">
        <f>SUM(D135/F134)</f>
        <v>-1.7170290863462664E-2</v>
      </c>
      <c r="E136" s="269"/>
      <c r="F136" s="265"/>
      <c r="G136" s="214"/>
    </row>
  </sheetData>
  <mergeCells count="36">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 ref="F84:G84"/>
    <mergeCell ref="H84:I84"/>
    <mergeCell ref="J84:K84"/>
    <mergeCell ref="L84:M84"/>
    <mergeCell ref="K67:L67"/>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s>
  <pageMargins left="0.7" right="0.7" top="0.75" bottom="0.75" header="0.3" footer="0.3"/>
  <pageSetup scale="59" orientation="landscape" r:id="rId1"/>
  <rowBreaks count="2" manualBreakCount="2">
    <brk id="49" max="16383" man="1"/>
    <brk id="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34.5" thickBot="1">
      <c r="A1" s="333" t="s">
        <v>209</v>
      </c>
    </row>
    <row r="2" spans="1:15">
      <c r="B2" t="s">
        <v>46</v>
      </c>
      <c r="F2" s="49" t="s">
        <v>52</v>
      </c>
      <c r="G2" s="50"/>
      <c r="H2" s="96">
        <v>0.98</v>
      </c>
      <c r="I2" s="97" t="s">
        <v>55</v>
      </c>
      <c r="J2" s="98"/>
      <c r="K2" s="49"/>
      <c r="L2" s="149" t="s">
        <v>69</v>
      </c>
      <c r="M2" s="149"/>
      <c r="N2" s="149" t="s">
        <v>67</v>
      </c>
      <c r="O2" s="156" t="s">
        <v>70</v>
      </c>
    </row>
    <row r="3" spans="1:15" ht="20.25">
      <c r="A3" s="161" t="s">
        <v>85</v>
      </c>
      <c r="B3" s="36" t="s">
        <v>45</v>
      </c>
      <c r="F3" s="51"/>
      <c r="G3" s="406" t="s">
        <v>69</v>
      </c>
      <c r="H3" s="406"/>
      <c r="I3" s="406" t="s">
        <v>67</v>
      </c>
      <c r="J3" s="407"/>
      <c r="K3" s="150" t="s">
        <v>86</v>
      </c>
      <c r="L3" s="151">
        <v>327104</v>
      </c>
      <c r="M3" s="151"/>
      <c r="N3" s="151">
        <v>583270</v>
      </c>
      <c r="O3" s="152">
        <f>L3+N3</f>
        <v>910374</v>
      </c>
    </row>
    <row r="4" spans="1:15" ht="20.25">
      <c r="A4" s="161" t="s">
        <v>87</v>
      </c>
      <c r="B4" s="33" t="s">
        <v>88</v>
      </c>
      <c r="F4" s="51" t="s">
        <v>39</v>
      </c>
      <c r="G4" s="89">
        <v>9483200</v>
      </c>
      <c r="H4" s="90">
        <f>G4/G$7</f>
        <v>0.59700966350845164</v>
      </c>
      <c r="I4" s="91">
        <v>9407700</v>
      </c>
      <c r="J4" s="92">
        <f>I4/I$7</f>
        <v>0.66258874239350918</v>
      </c>
      <c r="K4" s="150" t="s">
        <v>82</v>
      </c>
      <c r="L4" s="151">
        <v>345137</v>
      </c>
      <c r="M4" s="151"/>
      <c r="N4" s="151">
        <v>562000</v>
      </c>
      <c r="O4" s="152">
        <f>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L5+N5</f>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89</v>
      </c>
      <c r="D12" s="21">
        <f>(C13*0.34)/D11</f>
        <v>141.19996523791662</v>
      </c>
      <c r="E12" s="10"/>
      <c r="F12" s="163"/>
      <c r="G12" s="3"/>
      <c r="H12" s="129" t="s">
        <v>90</v>
      </c>
      <c r="I12" s="21">
        <f>(H13*0.3)/I11</f>
        <v>187.27507924966525</v>
      </c>
      <c r="L12" s="3"/>
      <c r="M12" s="10"/>
      <c r="N12" s="121"/>
      <c r="O12" s="121"/>
    </row>
    <row r="13" spans="1:15">
      <c r="A13" s="19" t="s">
        <v>38</v>
      </c>
      <c r="B13" s="2" t="s">
        <v>49</v>
      </c>
      <c r="C13" s="39">
        <f>C11*(D$10--G42-G46-G48-G52-G56)</f>
        <v>172347.01639333941</v>
      </c>
      <c r="D13" s="55" t="s">
        <v>91</v>
      </c>
      <c r="E13" s="163"/>
      <c r="F13" s="163"/>
      <c r="G13" s="3">
        <f>D11*D12</f>
        <v>58597.985573735394</v>
      </c>
      <c r="H13" s="39">
        <f>H11*(I10-L37-L42-L50-L52)</f>
        <v>257191.10883620693</v>
      </c>
      <c r="I13" s="55" t="s">
        <v>92</v>
      </c>
      <c r="L13" s="3">
        <f>+I12*I11</f>
        <v>77157.332650862081</v>
      </c>
      <c r="M13" s="10"/>
      <c r="N13" s="121"/>
      <c r="O13" s="121"/>
    </row>
    <row r="14" spans="1:15">
      <c r="A14" t="s">
        <v>8</v>
      </c>
      <c r="B14" s="2" t="s">
        <v>50</v>
      </c>
      <c r="C14" s="68" t="s">
        <v>93</v>
      </c>
      <c r="D14" s="56">
        <f>G4*H2</f>
        <v>9293536</v>
      </c>
      <c r="E14" s="163" t="s">
        <v>54</v>
      </c>
      <c r="F14" s="163"/>
      <c r="G14" s="2"/>
      <c r="H14" s="68" t="s">
        <v>94</v>
      </c>
      <c r="I14" s="59">
        <f>I4*H2</f>
        <v>9219546</v>
      </c>
      <c r="J14" t="s">
        <v>54</v>
      </c>
      <c r="L14" s="2"/>
      <c r="M14" s="163"/>
      <c r="N14" s="121"/>
      <c r="O14" s="121"/>
    </row>
    <row r="15" spans="1:15" ht="15">
      <c r="B15" s="2" t="s">
        <v>9</v>
      </c>
      <c r="C15" s="44"/>
      <c r="D15" s="57">
        <f>(C13*0.66)/(D14/1000)</f>
        <v>12.239585752893625</v>
      </c>
      <c r="E15" s="41" t="s">
        <v>95</v>
      </c>
      <c r="F15" s="163"/>
      <c r="G15" s="2"/>
      <c r="H15" s="72"/>
      <c r="I15" s="57">
        <f>(H13*0.7)/(I14*0.001)</f>
        <v>19.527401477832512</v>
      </c>
      <c r="J15" s="41" t="s">
        <v>96</v>
      </c>
      <c r="L15" s="2"/>
      <c r="M15" s="163"/>
      <c r="N15" s="121"/>
      <c r="O15" s="121"/>
    </row>
    <row r="16" spans="1:15">
      <c r="B16" s="2" t="s">
        <v>10</v>
      </c>
      <c r="C16" s="44"/>
      <c r="D16" s="55" t="s">
        <v>97</v>
      </c>
      <c r="E16" s="163"/>
      <c r="F16" s="163"/>
      <c r="G16" s="3">
        <f>(D14/1000)*D15</f>
        <v>113749.03081960401</v>
      </c>
      <c r="H16" s="72"/>
      <c r="I16" s="54" t="s">
        <v>98</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99</v>
      </c>
      <c r="D19" s="57">
        <f>(C20*0.4)/D18</f>
        <v>475.03706637287928</v>
      </c>
      <c r="E19" s="163"/>
      <c r="F19" s="163"/>
      <c r="G19" s="3"/>
      <c r="H19" s="129" t="s">
        <v>100</v>
      </c>
      <c r="I19" s="57">
        <f>(H20*0.4)/I18</f>
        <v>551.4891178554559</v>
      </c>
      <c r="L19" s="3"/>
      <c r="M19" s="10"/>
      <c r="N19" s="122"/>
      <c r="O19" s="122"/>
    </row>
    <row r="20" spans="1:15">
      <c r="A20" s="163" t="s">
        <v>38</v>
      </c>
      <c r="B20" s="2" t="s">
        <v>47</v>
      </c>
      <c r="C20" s="39">
        <f>C18*(D$10-G42-G46-G48-G52-G56)-1443</f>
        <v>89069.449944914872</v>
      </c>
      <c r="D20" s="55" t="s">
        <v>101</v>
      </c>
      <c r="E20" s="163"/>
      <c r="F20" s="163"/>
      <c r="G20" s="3">
        <f>D18*D19</f>
        <v>35627.779977965947</v>
      </c>
      <c r="H20" s="39">
        <f>(H18*(I10-L37-L42-L50-L52))-1000</f>
        <v>100646.7640086207</v>
      </c>
      <c r="I20" s="55" t="s">
        <v>102</v>
      </c>
      <c r="L20" s="3">
        <f>+I19*I18</f>
        <v>40258.705603448281</v>
      </c>
      <c r="M20" s="10"/>
      <c r="N20" s="122"/>
      <c r="O20" s="122"/>
    </row>
    <row r="21" spans="1:15">
      <c r="A21" t="s">
        <v>18</v>
      </c>
      <c r="B21" s="2" t="s">
        <v>48</v>
      </c>
      <c r="C21" s="68" t="s">
        <v>103</v>
      </c>
      <c r="D21" s="56">
        <f>G5*H2</f>
        <v>5222126</v>
      </c>
      <c r="E21" s="163" t="s">
        <v>54</v>
      </c>
      <c r="F21" s="163"/>
      <c r="G21" s="2"/>
      <c r="H21" s="68" t="s">
        <v>104</v>
      </c>
      <c r="I21" s="130">
        <f>I5*H2</f>
        <v>3643738</v>
      </c>
      <c r="J21" s="131" t="s">
        <v>54</v>
      </c>
      <c r="L21" s="2"/>
      <c r="M21" s="163"/>
      <c r="N21" s="122"/>
      <c r="O21" s="122"/>
    </row>
    <row r="22" spans="1:15" ht="15">
      <c r="B22" s="2" t="s">
        <v>9</v>
      </c>
      <c r="C22" s="44" t="s">
        <v>37</v>
      </c>
      <c r="D22" s="57">
        <f>(C20*0.6)/(D21/1000)</f>
        <v>10.23369983162967</v>
      </c>
      <c r="E22" s="41" t="s">
        <v>105</v>
      </c>
      <c r="F22" s="163"/>
      <c r="G22" s="2"/>
      <c r="H22" s="72"/>
      <c r="I22" s="132">
        <f>(H20*0.6)/(I21*0.001)</f>
        <v>16.573106629832445</v>
      </c>
      <c r="J22" s="133" t="s">
        <v>106</v>
      </c>
      <c r="L22" s="2"/>
      <c r="M22" s="163"/>
      <c r="N22" s="122"/>
      <c r="O22" s="122"/>
    </row>
    <row r="23" spans="1:15">
      <c r="B23" s="2" t="s">
        <v>11</v>
      </c>
      <c r="C23" s="44"/>
      <c r="D23" s="55" t="s">
        <v>107</v>
      </c>
      <c r="E23" s="163"/>
      <c r="F23" s="163"/>
      <c r="G23" s="3">
        <f>(D21/1000)*D22</f>
        <v>53441.669966948924</v>
      </c>
      <c r="H23" s="72"/>
      <c r="I23" s="54" t="s">
        <v>108</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109</v>
      </c>
      <c r="D26" s="57">
        <f>(C27*0.5)/D25</f>
        <v>5803.9694434826406</v>
      </c>
      <c r="E26" s="163"/>
      <c r="F26" s="163"/>
      <c r="G26" s="3"/>
      <c r="H26" s="129" t="s">
        <v>110</v>
      </c>
      <c r="I26" s="57">
        <f>(H27*0.5)/I25</f>
        <v>4887.1878591954019</v>
      </c>
      <c r="J26" s="163"/>
      <c r="K26" s="163"/>
      <c r="L26" s="3"/>
      <c r="M26" s="10"/>
      <c r="N26" s="122"/>
      <c r="O26" s="122"/>
    </row>
    <row r="27" spans="1:15">
      <c r="A27" s="163" t="s">
        <v>38</v>
      </c>
      <c r="B27" s="2" t="s">
        <v>51</v>
      </c>
      <c r="C27" s="39">
        <f>(C25*(D$10-G42-G46-G48-G52-G56))</f>
        <v>34823.816660895842</v>
      </c>
      <c r="D27" s="55" t="s">
        <v>111</v>
      </c>
      <c r="E27" s="163"/>
      <c r="F27" s="163"/>
      <c r="G27" s="3">
        <f>+D26*D25</f>
        <v>17411.908330447921</v>
      </c>
      <c r="H27" s="40">
        <f>H25*(I10-L37-L42-L50-L52)</f>
        <v>29323.127155172413</v>
      </c>
      <c r="I27" s="55" t="s">
        <v>112</v>
      </c>
      <c r="J27" s="163"/>
      <c r="K27" s="163"/>
      <c r="L27" s="3">
        <f>+I26*I25</f>
        <v>14661.563577586207</v>
      </c>
      <c r="M27" s="10"/>
      <c r="N27" s="122"/>
      <c r="O27" s="122"/>
    </row>
    <row r="28" spans="1:15">
      <c r="A28" t="s">
        <v>12</v>
      </c>
      <c r="B28" s="2"/>
      <c r="C28" s="68" t="s">
        <v>113</v>
      </c>
      <c r="D28" s="56">
        <f>G6*H2</f>
        <v>1051148</v>
      </c>
      <c r="E28" s="163" t="s">
        <v>54</v>
      </c>
      <c r="F28" s="163"/>
      <c r="G28" s="2"/>
      <c r="H28" s="68" t="s">
        <v>114</v>
      </c>
      <c r="I28" s="62">
        <f>I6*H2</f>
        <v>1051148</v>
      </c>
      <c r="J28" s="163" t="s">
        <v>54</v>
      </c>
      <c r="K28" s="163"/>
      <c r="L28" s="2"/>
      <c r="M28" s="163"/>
      <c r="N28" s="122"/>
      <c r="O28" s="122"/>
    </row>
    <row r="29" spans="1:15" ht="15">
      <c r="B29" s="2" t="s">
        <v>9</v>
      </c>
      <c r="C29" s="16"/>
      <c r="D29" s="57">
        <f>(C27*0.5)/(D28/1000)</f>
        <v>16.564659144523819</v>
      </c>
      <c r="E29" s="41" t="s">
        <v>115</v>
      </c>
      <c r="F29" s="163"/>
      <c r="G29" s="2"/>
      <c r="H29" s="72"/>
      <c r="I29" s="57">
        <f>(H27*0.5)/(I28*0.001)</f>
        <v>13.94814391273751</v>
      </c>
      <c r="J29" s="41" t="s">
        <v>115</v>
      </c>
      <c r="K29" s="163"/>
      <c r="L29" s="2"/>
      <c r="M29" s="163"/>
      <c r="N29" s="122"/>
      <c r="O29" s="122"/>
    </row>
    <row r="30" spans="1:15">
      <c r="B30" s="2" t="s">
        <v>13</v>
      </c>
      <c r="C30" s="71"/>
      <c r="D30" s="55" t="s">
        <v>116</v>
      </c>
      <c r="E30" s="1"/>
      <c r="F30" s="1"/>
      <c r="G30" s="15">
        <f>+D28*0.001*D29</f>
        <v>17411.908330447921</v>
      </c>
      <c r="H30" s="74"/>
      <c r="I30" s="54" t="s">
        <v>117</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118</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119</v>
      </c>
      <c r="E40" s="163"/>
      <c r="F40" s="163"/>
      <c r="G40" s="3">
        <f>+D39*D38</f>
        <v>1190</v>
      </c>
      <c r="H40" s="2"/>
      <c r="I40" s="54" t="s">
        <v>120</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121</v>
      </c>
      <c r="B44" s="2"/>
      <c r="D44" s="34">
        <f>D14+D21+D28</f>
        <v>15566810</v>
      </c>
      <c r="E44" s="163" t="s">
        <v>16</v>
      </c>
      <c r="F44" s="163"/>
      <c r="G44" s="2"/>
      <c r="H44" s="2"/>
      <c r="I44" s="34">
        <f>I14+I21+I28</f>
        <v>13914432</v>
      </c>
      <c r="J44" t="s">
        <v>17</v>
      </c>
      <c r="L44" s="2"/>
      <c r="M44" s="163"/>
      <c r="N44" s="121"/>
      <c r="O44" s="121"/>
    </row>
    <row r="45" spans="1:15">
      <c r="C45" s="27"/>
      <c r="D45" s="41" t="s">
        <v>122</v>
      </c>
      <c r="H45" s="27"/>
      <c r="I45" s="54" t="s">
        <v>123</v>
      </c>
      <c r="K45" s="163"/>
      <c r="L45" s="2"/>
      <c r="M45" s="163"/>
      <c r="N45" s="121"/>
      <c r="O45" s="121"/>
    </row>
    <row r="46" spans="1:15">
      <c r="A46" s="117" t="s">
        <v>34</v>
      </c>
      <c r="C46" s="27"/>
      <c r="G46" s="119">
        <v>1500</v>
      </c>
      <c r="H46" s="27"/>
      <c r="K46" s="163"/>
      <c r="L46" s="127" t="s">
        <v>68</v>
      </c>
      <c r="M46" s="42"/>
      <c r="N46" s="121"/>
      <c r="O46" s="121"/>
    </row>
    <row r="47" spans="1:15">
      <c r="A47" s="120" t="s">
        <v>124</v>
      </c>
      <c r="C47" s="27"/>
      <c r="G47" s="54" t="s">
        <v>125</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126</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127</v>
      </c>
      <c r="M51" s="41"/>
      <c r="N51" s="121"/>
      <c r="O51" s="121"/>
    </row>
    <row r="52" spans="1:15">
      <c r="A52" s="117" t="s">
        <v>56</v>
      </c>
      <c r="B52" t="s">
        <v>81</v>
      </c>
      <c r="C52" s="27"/>
      <c r="G52" s="124">
        <v>0</v>
      </c>
      <c r="H52" s="27"/>
      <c r="K52" s="163"/>
      <c r="L52" s="125">
        <v>0</v>
      </c>
      <c r="M52" s="41"/>
      <c r="N52" s="121"/>
      <c r="O52" s="121"/>
    </row>
    <row r="53" spans="1:15">
      <c r="B53" t="s">
        <v>128</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129</v>
      </c>
      <c r="G71" s="145"/>
      <c r="I71" s="129" t="s">
        <v>130</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Sample FY22 Rates with Gateway</vt:lpstr>
      <vt:lpstr>Estimated Usage</vt:lpstr>
      <vt:lpstr>FY22 Final</vt:lpstr>
      <vt:lpstr>FY21 Final</vt:lpstr>
      <vt:lpstr>FY20 Final</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2021-05-20T19:10:34Z</cp:lastPrinted>
  <dcterms:created xsi:type="dcterms:W3CDTF">2016-04-29T13:54:33Z</dcterms:created>
  <dcterms:modified xsi:type="dcterms:W3CDTF">2021-05-21T16:46:45Z</dcterms:modified>
</cp:coreProperties>
</file>